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f4da945ae63a203/Documents/Publication/Antenatal Care Tools/"/>
    </mc:Choice>
  </mc:AlternateContent>
  <xr:revisionPtr revIDLastSave="153" documentId="8_{AC40588C-C9A4-4CEB-98FA-9B1ECE03C5E2}" xr6:coauthVersionLast="47" xr6:coauthVersionMax="47" xr10:uidLastSave="{9073026E-17D9-4D18-B956-CA7A6C40B049}"/>
  <bookViews>
    <workbookView xWindow="-98" yWindow="-98" windowWidth="21795" windowHeight="13875" activeTab="3" xr2:uid="{6F253F84-071E-42B6-B39E-6D2E665640B1}"/>
  </bookViews>
  <sheets>
    <sheet name="Summary" sheetId="9" r:id="rId1"/>
    <sheet name="Age Calculator" sheetId="12" r:id="rId2"/>
    <sheet name="Gestational Age Calculator" sheetId="3" r:id="rId3"/>
    <sheet name="VTE Screening" sheetId="2" r:id="rId4"/>
    <sheet name="GDM Screening" sheetId="4" r:id="rId5"/>
    <sheet name="PTB Screening" sheetId="5" r:id="rId6"/>
    <sheet name="PHQ and GAD" sheetId="8" r:id="rId7"/>
    <sheet name="PE Prophylaxis" sheetId="6" r:id="rId8"/>
    <sheet name="Anaemia" sheetId="7" r:id="rId9"/>
    <sheet name="Preterm Birth Screening" sheetId="16" r:id="rId10"/>
    <sheet name="STI" sheetId="11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2" i="2" l="1"/>
  <c r="H33" i="2"/>
  <c r="H34" i="2"/>
  <c r="H31" i="2"/>
  <c r="J34" i="2"/>
  <c r="I35" i="2" s="1"/>
  <c r="G35" i="2"/>
  <c r="G37" i="2" s="1"/>
  <c r="E35" i="2"/>
  <c r="F34" i="2"/>
  <c r="H23" i="2"/>
  <c r="H19" i="2"/>
  <c r="D45" i="6"/>
  <c r="F38" i="7"/>
  <c r="F36" i="7"/>
  <c r="C35" i="7"/>
  <c r="A29" i="7"/>
  <c r="C29" i="7" s="1"/>
  <c r="A26" i="7"/>
  <c r="C26" i="7" s="1"/>
  <c r="C16" i="7"/>
  <c r="C14" i="7"/>
  <c r="C17" i="7" s="1"/>
  <c r="C7" i="7"/>
  <c r="C9" i="7" s="1"/>
  <c r="G5" i="4" a="1"/>
  <c r="G5" i="4" s="1"/>
  <c r="D12" i="9" s="1"/>
  <c r="D21" i="16"/>
  <c r="B32" i="16" s="1"/>
  <c r="D33" i="9" s="1"/>
  <c r="D11" i="16"/>
  <c r="B14" i="16" s="1"/>
  <c r="D32" i="9" s="1"/>
  <c r="B16" i="8"/>
  <c r="G27" i="9"/>
  <c r="D27" i="9"/>
  <c r="D28" i="9"/>
  <c r="C6" i="12"/>
  <c r="D3" i="9" s="1"/>
  <c r="H39" i="6"/>
  <c r="D40" i="6"/>
  <c r="D41" i="6"/>
  <c r="D37" i="6"/>
  <c r="D35" i="6"/>
  <c r="D34" i="6"/>
  <c r="H34" i="6"/>
  <c r="H35" i="6"/>
  <c r="D36" i="6"/>
  <c r="H36" i="6"/>
  <c r="H37" i="6"/>
  <c r="D38" i="6"/>
  <c r="H38" i="6"/>
  <c r="D39" i="6"/>
  <c r="C13" i="3"/>
  <c r="C18" i="3"/>
  <c r="D7" i="12"/>
  <c r="C17" i="3"/>
  <c r="H20" i="2"/>
  <c r="J10" i="2"/>
  <c r="H12" i="2"/>
  <c r="H13" i="2"/>
  <c r="H14" i="2"/>
  <c r="H10" i="2"/>
  <c r="H11" i="2"/>
  <c r="D21" i="8"/>
  <c r="D20" i="8"/>
  <c r="C22" i="8" s="1"/>
  <c r="D5" i="8"/>
  <c r="D4" i="8"/>
  <c r="H12" i="6"/>
  <c r="H11" i="6"/>
  <c r="H10" i="6"/>
  <c r="H9" i="6"/>
  <c r="H8" i="6"/>
  <c r="J13" i="6" s="1"/>
  <c r="B16" i="6" s="1"/>
  <c r="D24" i="9" s="1" a="1"/>
  <c r="D24" i="9" s="1"/>
  <c r="D13" i="6"/>
  <c r="D12" i="6"/>
  <c r="D11" i="6"/>
  <c r="D10" i="6"/>
  <c r="D9" i="6"/>
  <c r="D8" i="6"/>
  <c r="D5" i="5"/>
  <c r="D13" i="5" s="1"/>
  <c r="B15" i="5" s="1"/>
  <c r="D14" i="9" s="1" a="1"/>
  <c r="D14" i="9" s="1"/>
  <c r="D6" i="5"/>
  <c r="D7" i="5"/>
  <c r="D8" i="5"/>
  <c r="D9" i="5"/>
  <c r="D10" i="5"/>
  <c r="D11" i="5"/>
  <c r="D12" i="5"/>
  <c r="D4" i="5"/>
  <c r="H6" i="2"/>
  <c r="H7" i="2"/>
  <c r="H8" i="2"/>
  <c r="J6" i="2"/>
  <c r="J7" i="2"/>
  <c r="J8" i="2"/>
  <c r="F6" i="2"/>
  <c r="J14" i="2"/>
  <c r="J13" i="2"/>
  <c r="J12" i="2"/>
  <c r="J11" i="2"/>
  <c r="J24" i="2"/>
  <c r="J23" i="2"/>
  <c r="J22" i="2"/>
  <c r="J21" i="2"/>
  <c r="J19" i="2"/>
  <c r="J18" i="2"/>
  <c r="H30" i="2"/>
  <c r="H29" i="2"/>
  <c r="F30" i="2"/>
  <c r="F29" i="2"/>
  <c r="J28" i="2"/>
  <c r="J33" i="2"/>
  <c r="J32" i="2"/>
  <c r="J31" i="2"/>
  <c r="F33" i="2"/>
  <c r="F32" i="2"/>
  <c r="F31" i="2"/>
  <c r="F20" i="2"/>
  <c r="F14" i="2"/>
  <c r="F13" i="2"/>
  <c r="F12" i="2"/>
  <c r="F11" i="2"/>
  <c r="F10" i="2"/>
  <c r="F8" i="2"/>
  <c r="F7" i="2"/>
  <c r="C4" i="3"/>
  <c r="D6" i="9" s="1" a="1"/>
  <c r="D6" i="9" s="1"/>
  <c r="C3" i="3"/>
  <c r="D10" i="3" s="1"/>
  <c r="C6" i="3"/>
  <c r="C8" i="3" s="1"/>
  <c r="G6" i="9" s="1" a="1"/>
  <c r="G6" i="9" s="1"/>
  <c r="G10" i="9" l="1"/>
  <c r="G9" i="9"/>
  <c r="E35" i="7"/>
  <c r="D29" i="9"/>
  <c r="D30" i="9"/>
  <c r="I37" i="2"/>
  <c r="J39" i="6"/>
  <c r="B45" i="6" s="1"/>
  <c r="B25" i="8"/>
  <c r="D22" i="9" s="1"/>
  <c r="D21" i="9"/>
  <c r="D17" i="9"/>
  <c r="C6" i="8"/>
  <c r="B9" i="8" s="1"/>
  <c r="D18" i="9" s="1"/>
  <c r="C14" i="3"/>
  <c r="E37" i="2" l="1"/>
  <c r="D10" i="9" s="1"/>
  <c r="J10" i="9"/>
  <c r="J9" i="9"/>
  <c r="E36" i="7"/>
  <c r="I35" i="7"/>
  <c r="J35" i="7"/>
  <c r="H35" i="7"/>
  <c r="G35" i="7"/>
  <c r="D9" i="9"/>
  <c r="J38" i="7" l="1"/>
  <c r="I38" i="7"/>
  <c r="H36" i="7"/>
  <c r="H38" i="7"/>
  <c r="G38" i="7"/>
  <c r="I37" i="7"/>
  <c r="H37" i="7"/>
  <c r="G37" i="7"/>
  <c r="J37" i="7"/>
  <c r="J36" i="7"/>
  <c r="K37" i="7"/>
  <c r="K36" i="7"/>
  <c r="G36" i="7" s="1"/>
  <c r="I36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<sst xmlns="http://schemas.openxmlformats.org/spreadsheetml/2006/main" count="387" uniqueCount="232">
  <si>
    <t>Target Hb (g/dl)</t>
  </si>
  <si>
    <t>Actual Hb (g/dl)</t>
  </si>
  <si>
    <t>Total dose iron (mg)</t>
  </si>
  <si>
    <t>Mentzer Index</t>
  </si>
  <si>
    <t>MCV (fL)</t>
  </si>
  <si>
    <r>
      <t>RBC (million/</t>
    </r>
    <r>
      <rPr>
        <b/>
        <sz val="12"/>
        <color theme="1"/>
        <rFont val="Calibri"/>
        <family val="2"/>
      </rPr>
      <t>μL)</t>
    </r>
  </si>
  <si>
    <r>
      <t>Anaemia 2</t>
    </r>
    <r>
      <rPr>
        <b/>
        <sz val="12"/>
        <color theme="1"/>
        <rFont val="Times New Roman"/>
        <family val="1"/>
      </rPr>
      <t>°</t>
    </r>
    <r>
      <rPr>
        <b/>
        <sz val="12"/>
        <color theme="1"/>
        <rFont val="Calibri"/>
        <family val="2"/>
      </rPr>
      <t xml:space="preserve"> Most Likely to </t>
    </r>
  </si>
  <si>
    <t>Mentzer Index Calculator</t>
  </si>
  <si>
    <t>TSAT Calculator</t>
  </si>
  <si>
    <t>TSAT</t>
  </si>
  <si>
    <t>Type of anaemia by ferritin</t>
  </si>
  <si>
    <t>IV Cosmofer/Venofer Dose Calculator</t>
  </si>
  <si>
    <t>No. of Ampules to Treat</t>
  </si>
  <si>
    <t>Mild Anaemia</t>
  </si>
  <si>
    <t>Moderate Anemia</t>
  </si>
  <si>
    <t>Severe Anaemia</t>
  </si>
  <si>
    <t>&lt;7g/dL</t>
  </si>
  <si>
    <t>Ferritin level (ng/mL)</t>
  </si>
  <si>
    <r>
      <t>Iron (</t>
    </r>
    <r>
      <rPr>
        <b/>
        <sz val="12"/>
        <color theme="1"/>
        <rFont val="Calibri"/>
        <family val="2"/>
      </rPr>
      <t>μg/dL)</t>
    </r>
  </si>
  <si>
    <r>
      <t>TIBC (</t>
    </r>
    <r>
      <rPr>
        <b/>
        <sz val="12"/>
        <color theme="1"/>
        <rFont val="Calibri"/>
        <family val="2"/>
      </rPr>
      <t>μg/dL)</t>
    </r>
  </si>
  <si>
    <t>Type of iron deficiency by TSAT &amp; ferritin</t>
  </si>
  <si>
    <t>References:</t>
  </si>
  <si>
    <t>Venofer Full Prescribing Information, Dosage &amp; Side Effects | MIMS Malaysia. (n.d.). Retrieved February 19, 2023, from https://www.mims.com/malaysia/drug/info/venofer?type=full</t>
  </si>
  <si>
    <t>LMP DATE</t>
  </si>
  <si>
    <t>EDD FROM LMP</t>
  </si>
  <si>
    <t>REDD FROM USG</t>
  </si>
  <si>
    <t>POG BY LMP</t>
  </si>
  <si>
    <t>LMP BY REDD</t>
  </si>
  <si>
    <t>POG BY REDD</t>
  </si>
  <si>
    <t>DESCREPANCY OF DATES</t>
  </si>
  <si>
    <t>POG TODAY BY LMP</t>
  </si>
  <si>
    <t>POG TODAY BY REDD</t>
  </si>
  <si>
    <t>POG AT DATE OF</t>
  </si>
  <si>
    <t>IV Drip infusion rate (gtt/min)</t>
  </si>
  <si>
    <t>Micro drip infusion rate (gtt/min)</t>
  </si>
  <si>
    <t>Infusion pump rate (ml/hour)</t>
  </si>
  <si>
    <t>Infusion pump volume limit</t>
  </si>
  <si>
    <t>Total dose infusion (mg)</t>
  </si>
  <si>
    <t>Test dose</t>
  </si>
  <si>
    <t>Age</t>
  </si>
  <si>
    <t>BMI</t>
  </si>
  <si>
    <t>Previous history of GDM</t>
  </si>
  <si>
    <t>1st degree relative with DM</t>
  </si>
  <si>
    <t>Current obstetrics problems (essential HPT, PIH, polyhydramnions and current use of corticosteroids)</t>
  </si>
  <si>
    <t>Yes</t>
  </si>
  <si>
    <t>No</t>
  </si>
  <si>
    <t>Risk factors for GDM</t>
  </si>
  <si>
    <t>Plan</t>
  </si>
  <si>
    <t>Reference:</t>
  </si>
  <si>
    <r>
      <t xml:space="preserve">Glycosuria </t>
    </r>
    <r>
      <rPr>
        <b/>
        <sz val="12"/>
        <rFont val="Calibri"/>
        <family val="2"/>
      </rPr>
      <t>≥2x on 2 occasions</t>
    </r>
  </si>
  <si>
    <t>Pre-existing risk factors</t>
  </si>
  <si>
    <t>Previous VTE</t>
  </si>
  <si>
    <t>High risk thrombophilia</t>
  </si>
  <si>
    <t>Medical comorbidities (e.g. - malignancies, cardiac failure, active SLE, active TV, IVDU, nephrotic syndrome, diabetic nephropathy, thalasemia major or intermedia, post splenectomy)</t>
  </si>
  <si>
    <t>Obesity</t>
  </si>
  <si>
    <t>Family history of VTE</t>
  </si>
  <si>
    <t>Low risk thrombophilia (factor V Leiden, High FVIII)</t>
  </si>
  <si>
    <t>Obstetrics risk factors</t>
  </si>
  <si>
    <t>Caesarean section (emergency/elective)</t>
  </si>
  <si>
    <t>Pre-eclampsia</t>
  </si>
  <si>
    <t>IVF (1st trimester only)</t>
  </si>
  <si>
    <t>Prolonged labour &gt; 24 hours</t>
  </si>
  <si>
    <r>
      <t>PPH (</t>
    </r>
    <r>
      <rPr>
        <sz val="12"/>
        <color theme="1"/>
        <rFont val="Calibri"/>
        <family val="2"/>
      </rPr>
      <t>≥1000 ml) or required blood transfusion</t>
    </r>
  </si>
  <si>
    <t>Stillbirth of current delivery</t>
  </si>
  <si>
    <t>Transient risk factors</t>
  </si>
  <si>
    <t>Hyperemesis gravidarum</t>
  </si>
  <si>
    <t>Ovarian hyperstimulation syndrome (OHSS)</t>
  </si>
  <si>
    <r>
      <t xml:space="preserve">  BMI </t>
    </r>
    <r>
      <rPr>
        <sz val="12"/>
        <color theme="1"/>
        <rFont val="Calibri"/>
        <family val="2"/>
      </rPr>
      <t>≥ 40 kg/m</t>
    </r>
    <r>
      <rPr>
        <vertAlign val="superscript"/>
        <sz val="12"/>
        <color theme="1"/>
        <rFont val="Calibri"/>
        <family val="2"/>
      </rPr>
      <t>2</t>
    </r>
  </si>
  <si>
    <r>
      <t xml:space="preserve">  BMI 30-39 kg/m</t>
    </r>
    <r>
      <rPr>
        <vertAlign val="superscript"/>
        <sz val="12"/>
        <color theme="1"/>
        <rFont val="Calibri"/>
        <family val="2"/>
        <scheme val="minor"/>
      </rPr>
      <t>2</t>
    </r>
  </si>
  <si>
    <t>Postpartum</t>
  </si>
  <si>
    <t>Immobility/Dehydration/ Admission beyond 3 days</t>
  </si>
  <si>
    <t>Long distance travel               (&gt; 4 hours)</t>
  </si>
  <si>
    <t>Prepregnancy/ At Booking</t>
  </si>
  <si>
    <t>Antenatal/ Admission/ New illness</t>
  </si>
  <si>
    <t>Total VTE Score</t>
  </si>
  <si>
    <t>CHOOSE VTE RISK FACTORS</t>
  </si>
  <si>
    <t>Reference</t>
  </si>
  <si>
    <t>PTB Screening</t>
  </si>
  <si>
    <t>Chronic cough (&gt; 2 weeks)</t>
  </si>
  <si>
    <t>Hemoptysis</t>
  </si>
  <si>
    <t>Prolonged fever</t>
  </si>
  <si>
    <t>TB Contact</t>
  </si>
  <si>
    <t>Lives in TB hotspot area</t>
  </si>
  <si>
    <r>
      <t xml:space="preserve">Respiratory Department Queen Elizabeth Hospital, &amp; TB &amp; Leprosy Sector Sabah State Health Department. (2022). </t>
    </r>
    <r>
      <rPr>
        <i/>
        <sz val="12"/>
        <color theme="1"/>
        <rFont val="Times New Roman"/>
        <family val="1"/>
      </rPr>
      <t>SABAH’S HANDBOOK ON MANAGEMENT OF TUBERCULOSIS IN ADULTS (1st Edition, 2022)</t>
    </r>
    <r>
      <rPr>
        <sz val="12"/>
        <color theme="1"/>
        <rFont val="Times New Roman"/>
        <family val="1"/>
      </rPr>
      <t>.</t>
    </r>
  </si>
  <si>
    <t>Recommended max dose per week is 500mg to 600mg = 5 to 6 ampules</t>
  </si>
  <si>
    <t>No of Cosmofer Ampules</t>
  </si>
  <si>
    <t>Choice of dilution (ml)</t>
  </si>
  <si>
    <t>IV Cosmofer dose dilution in 100ml or 500 ml (mg/ml)</t>
  </si>
  <si>
    <t>Total ml required for infusion</t>
  </si>
  <si>
    <t>in 15 mnts</t>
  </si>
  <si>
    <t>Risk factor</t>
  </si>
  <si>
    <t>Parity</t>
  </si>
  <si>
    <t>Pregnancy interval</t>
  </si>
  <si>
    <t>BMI at booking</t>
  </si>
  <si>
    <t>Family history of pre-eclampsia</t>
  </si>
  <si>
    <t>Multi-fetal pregnancy</t>
  </si>
  <si>
    <t>Moderate Risk Factors</t>
  </si>
  <si>
    <t>Major Risk Factors</t>
  </si>
  <si>
    <t>Hypertensive disease during a previous pregnancy</t>
  </si>
  <si>
    <t>Chronic kidney disease</t>
  </si>
  <si>
    <t>Auto-immune disease (SLE/APS)</t>
  </si>
  <si>
    <t>T1DM, T2DM</t>
  </si>
  <si>
    <t>Chronic HPT</t>
  </si>
  <si>
    <t>≤10 years</t>
  </si>
  <si>
    <t>&lt;35</t>
  </si>
  <si>
    <t>Total score</t>
  </si>
  <si>
    <t>POA</t>
  </si>
  <si>
    <t>PE PROPHYLAXIS</t>
  </si>
  <si>
    <t>PE prophylaxis</t>
  </si>
  <si>
    <t>2. Tab CaCO3 1g BD</t>
  </si>
  <si>
    <t>PHQ-2</t>
  </si>
  <si>
    <t>Not at all</t>
  </si>
  <si>
    <t>Several days</t>
  </si>
  <si>
    <t>More than 7 days</t>
  </si>
  <si>
    <t>Nearly every day</t>
  </si>
  <si>
    <t>Total Score</t>
  </si>
  <si>
    <r>
      <t>Over the </t>
    </r>
    <r>
      <rPr>
        <b/>
        <u/>
        <sz val="10"/>
        <color rgb="FF333333"/>
        <rFont val="Open Sans"/>
        <family val="2"/>
      </rPr>
      <t>last 2 weeks</t>
    </r>
    <r>
      <rPr>
        <sz val="10"/>
        <color rgb="FF333333"/>
        <rFont val="Open Sans"/>
        <family val="2"/>
      </rPr>
      <t>, how often have you been bothered by the following problems?</t>
    </r>
  </si>
  <si>
    <t>1. Little interest or pleasure in doing things</t>
  </si>
  <si>
    <t>2. Feeling down, depressed or hopeless</t>
  </si>
  <si>
    <t>GAD-2</t>
  </si>
  <si>
    <t>1. Feeling nervous, anxious or on edge</t>
  </si>
  <si>
    <t>2. Not being able to stop or control worrying</t>
  </si>
  <si>
    <t>References</t>
  </si>
  <si>
    <r>
      <t>Patient Health Questionnaire-2 (PHQ-2) - Mental Health Screening - National HIV Curriculum</t>
    </r>
    <r>
      <rPr>
        <sz val="12"/>
        <color theme="1"/>
        <rFont val="Times New Roman"/>
        <family val="1"/>
      </rPr>
      <t>. (n.d.). Retrieved July 26, 2023, from https://www.hiv.uw.edu/page/mental-health-screening/phq-2</t>
    </r>
  </si>
  <si>
    <r>
      <t>Generalized Anxiety Disorder 2-item (GAD-2) - Mental Health Screening - National HIV Curriculum</t>
    </r>
    <r>
      <rPr>
        <sz val="12"/>
        <color theme="1"/>
        <rFont val="Times New Roman"/>
        <family val="1"/>
      </rPr>
      <t>. (n.d.). Retrieved July 26, 2023, from https://www.hiv.uw.edu/page/mental-health-screening/gad-2</t>
    </r>
  </si>
  <si>
    <t>VTE</t>
  </si>
  <si>
    <t>GDM</t>
  </si>
  <si>
    <t>PTB</t>
  </si>
  <si>
    <t>by LMP</t>
  </si>
  <si>
    <t>by REDD</t>
  </si>
  <si>
    <t>Score</t>
  </si>
  <si>
    <t>SUMMARY OF SCREENINGS SCORES AND PLANS</t>
  </si>
  <si>
    <r>
      <t xml:space="preserve">O&amp;G HTAA. (2020). </t>
    </r>
    <r>
      <rPr>
        <i/>
        <sz val="12"/>
        <color theme="1"/>
        <rFont val="Times New Roman"/>
        <family val="1"/>
      </rPr>
      <t>DATING SCAN BASIC AND ADVANCED ULTRASOUND IN O&amp;G</t>
    </r>
    <r>
      <rPr>
        <sz val="12"/>
        <color theme="1"/>
        <rFont val="Times New Roman"/>
        <family val="1"/>
      </rPr>
      <t>.</t>
    </r>
  </si>
  <si>
    <t>Anemia</t>
  </si>
  <si>
    <t>Type of iron defeciency</t>
  </si>
  <si>
    <t>IV iron dose need</t>
  </si>
  <si>
    <t>Maximum IV iron dose</t>
  </si>
  <si>
    <t>Gestational Age</t>
  </si>
  <si>
    <t>BACK TO SUMMARY SHEET</t>
  </si>
  <si>
    <t>Reactive HIV</t>
  </si>
  <si>
    <t>1. Send for HIV confirmatory test.</t>
  </si>
  <si>
    <t>2. Notify</t>
  </si>
  <si>
    <t>3. Refer FMS</t>
  </si>
  <si>
    <t>Reactive VDRL</t>
  </si>
  <si>
    <t>2. Notify.</t>
  </si>
  <si>
    <t>3. Screen for husband.</t>
  </si>
  <si>
    <t>1. Send for TPHA/TPPA and RPR titre and anti HCV.</t>
  </si>
  <si>
    <t>4. Refer FMS</t>
  </si>
  <si>
    <t>Reactive Hep B RTK</t>
  </si>
  <si>
    <t>3. Screen husband.</t>
  </si>
  <si>
    <t>4. Refer FMS.</t>
  </si>
  <si>
    <t>STI brief guideline</t>
  </si>
  <si>
    <t>BIRTHDAY DATE</t>
  </si>
  <si>
    <t>AGE TODAY</t>
  </si>
  <si>
    <t>Date (DD/MM/YYYY)</t>
  </si>
  <si>
    <t>Age Calculator</t>
  </si>
  <si>
    <r>
      <t xml:space="preserve">FMS Sabah, &amp; O&amp;G SWACH. (2020). </t>
    </r>
    <r>
      <rPr>
        <i/>
        <sz val="12"/>
        <color theme="1"/>
        <rFont val="Times New Roman"/>
        <family val="1"/>
      </rPr>
      <t>Sabah Obstetric Shared Care Guidelines</t>
    </r>
    <r>
      <rPr>
        <sz val="12"/>
        <color theme="1"/>
        <rFont val="Times New Roman"/>
        <family val="1"/>
      </rPr>
      <t xml:space="preserve"> (4th ed.).</t>
    </r>
  </si>
  <si>
    <t>DATE AT POG OF</t>
  </si>
  <si>
    <t>BY LMP</t>
  </si>
  <si>
    <t>BY REDD</t>
  </si>
  <si>
    <t>weeks</t>
  </si>
  <si>
    <t>days</t>
  </si>
  <si>
    <t>AGE AT DATE OF</t>
  </si>
  <si>
    <t>Whooley Screening</t>
  </si>
  <si>
    <t xml:space="preserve">2. During the past month, have you often been bothered by little interes or pleasure in doint things? </t>
  </si>
  <si>
    <t>1. During the past month, have you often been bothered by feeling down, depressed or hopeless?</t>
  </si>
  <si>
    <t>Multi</t>
  </si>
  <si>
    <t>PE PROPHYLAXIS BY ACOG</t>
  </si>
  <si>
    <t>Multifetal gestation</t>
  </si>
  <si>
    <t>IVF</t>
  </si>
  <si>
    <t>Personal history factors</t>
  </si>
  <si>
    <t>https://www.acog.org/clinical/clinical-guidance/practice-advisory/articles/2021/12/low-dose-aspirin-use-for-the-prevention-of-preeclampsia-and-related-morbidity-and-mortality</t>
  </si>
  <si>
    <t>Pre Pregnancy/ Ideal Body weight (kg)</t>
  </si>
  <si>
    <t>Max dose (20 mg/kg)/day</t>
  </si>
  <si>
    <t>Max ampules/day</t>
  </si>
  <si>
    <t>Total Dose Infusion (TDI) is recommened only for Cosmofer as stated in product information sheet. If total dose exceeds max dose/day, to give in split doses. Second TDI of the remaining doses is 2 weeks after 1st TDI (if increment of Hb &lt; 1g/dl).</t>
  </si>
  <si>
    <t>Remaining dose</t>
  </si>
  <si>
    <t>Preterm Birth Screening</t>
  </si>
  <si>
    <t>Initial Risk Assessment (by nurse/MO)</t>
  </si>
  <si>
    <t>Smoking</t>
  </si>
  <si>
    <t>Maternal age &lt;20 years old</t>
  </si>
  <si>
    <t>Screen for urinary tract infection symptoms</t>
  </si>
  <si>
    <t>Screen for genital tract infection symptoms</t>
  </si>
  <si>
    <t>History of preterm birth</t>
  </si>
  <si>
    <t>History of cervical surgery/ cerclage</t>
  </si>
  <si>
    <t>BMI &lt;18.5kg/m2</t>
  </si>
  <si>
    <t>Further Risk Assessment (by MO)</t>
  </si>
  <si>
    <t>History of mid-trimester loss or spontaneous preterm birth (between 16-&lt;37w gestation)*</t>
  </si>
  <si>
    <t>Previous PPROM (follow by spontaneous preterm birth, exclude delivery at term or via induction)*</t>
  </si>
  <si>
    <t>Previous cervical surgery (e.g.: cone biopsy, large loop excision of a transformation zone (LLETZ) or trachelectomy)</t>
  </si>
  <si>
    <t>Cervical cerclage in previous pregnancy</t>
  </si>
  <si>
    <t>Known uterine anomaly (e.g: bicornuate uterus, uterine didelphys)</t>
  </si>
  <si>
    <t>i. Previous iatrogenic preterm delivery for obstetric indications (e.g. maternal medical disease, severe pre-eclampsia, placenta praevia, intrauterine growth restriction, etc)</t>
  </si>
  <si>
    <t>ii. Previous termination of pregnancy by either medical (e.g gameprost) or surgical (e.g. dilatation and curettage) method</t>
  </si>
  <si>
    <t>iii. Recurrent first trimester miscarriage</t>
  </si>
  <si>
    <t>iv. Previous mid-trimester loss caused by a missed miscarriage</t>
  </si>
  <si>
    <t>v. Previous preterm delivery related to multiple pregnancy</t>
  </si>
  <si>
    <t>*To exclude the following</t>
  </si>
  <si>
    <r>
      <t xml:space="preserve">(The following groups of pregnant women </t>
    </r>
    <r>
      <rPr>
        <b/>
        <sz val="12"/>
        <color theme="1"/>
        <rFont val="Calibri"/>
        <family val="2"/>
        <scheme val="minor"/>
      </rPr>
      <t>DO NOT</t>
    </r>
    <r>
      <rPr>
        <sz val="12"/>
        <color theme="1"/>
        <rFont val="Calibri"/>
        <family val="2"/>
        <scheme val="minor"/>
      </rPr>
      <t xml:space="preserve"> require a referral to an O&amp;G specialist clinic for preterm birth risk assessment)</t>
    </r>
  </si>
  <si>
    <t>&lt;12 weeks</t>
  </si>
  <si>
    <t>&lt;40</t>
  </si>
  <si>
    <r>
      <t>CosmoFer Dosage/Direction for Use | MIMS Malaysia</t>
    </r>
    <r>
      <rPr>
        <sz val="10"/>
        <color theme="1"/>
        <rFont val="Times New Roman"/>
        <family val="1"/>
      </rPr>
      <t>. (n.d.). Retrieved February 19, 2023, from https://www.mims.com/malaysia/drug/info/cosmofer/dosage</t>
    </r>
  </si>
  <si>
    <r>
      <t xml:space="preserve">Ministry of Health Malaysia. (2021). </t>
    </r>
    <r>
      <rPr>
        <i/>
        <sz val="10"/>
        <color theme="1"/>
        <rFont val="Times New Roman"/>
        <family val="1"/>
      </rPr>
      <t>PERINATAL CARE MANUAL 4 TH EDITION</t>
    </r>
    <r>
      <rPr>
        <sz val="10"/>
        <color theme="1"/>
        <rFont val="Times New Roman"/>
        <family val="1"/>
      </rPr>
      <t xml:space="preserve"> (4th ed., Issue December). Division of Family Health Development.</t>
    </r>
  </si>
  <si>
    <r>
      <t xml:space="preserve">Transfusion Practitioner. (2008). </t>
    </r>
    <r>
      <rPr>
        <i/>
        <sz val="10"/>
        <color theme="1"/>
        <rFont val="Calibri"/>
        <family val="2"/>
        <scheme val="minor"/>
      </rPr>
      <t>Protocol for the use of Intravenous Iron Dextran (CosmoFer ® )</t>
    </r>
    <r>
      <rPr>
        <sz val="10"/>
        <color theme="1"/>
        <rFont val="Calibri"/>
        <family val="2"/>
        <scheme val="minor"/>
      </rPr>
      <t>.</t>
    </r>
  </si>
  <si>
    <r>
      <t>Anaemia Calculator V5 </t>
    </r>
    <r>
      <rPr>
        <sz val="10"/>
        <color rgb="FF333333"/>
        <rFont val="Source Sans Pro"/>
        <family val="2"/>
      </rPr>
      <t>© 2023 by </t>
    </r>
    <r>
      <rPr>
        <sz val="10"/>
        <color rgb="FFD14500"/>
        <rFont val="Source Sans Pro"/>
        <family val="2"/>
      </rPr>
      <t>Hazwani Hanum Binti Hashim </t>
    </r>
    <r>
      <rPr>
        <sz val="10"/>
        <color rgb="FF333333"/>
        <rFont val="Source Sans Pro"/>
        <family val="2"/>
      </rPr>
      <t>is licensed under </t>
    </r>
    <r>
      <rPr>
        <sz val="10"/>
        <color rgb="FFD14500"/>
        <rFont val="Source Sans Pro"/>
        <family val="2"/>
      </rPr>
      <t>Attribution-NonCommercial 4.0 International </t>
    </r>
  </si>
  <si>
    <t>Primi</t>
  </si>
  <si>
    <t>10-10.9g/dL</t>
  </si>
  <si>
    <t>7-9.9g/dL</t>
  </si>
  <si>
    <t>High Risk Factors</t>
  </si>
  <si>
    <t>Hypertensive disease (PIH or PE) during a previous pregnancy</t>
  </si>
  <si>
    <t>1. Cardipin 100mg ON or Tab Aspirin 150mg ON until 36 weeks POG</t>
  </si>
  <si>
    <t>&lt;30</t>
  </si>
  <si>
    <t>Sabah Family Medicine Specialists Association, Sabah State Health Department, Hospital Wanita dan Kanak-Kanak Sabah. Sabah Obstetric Shared Care Guidelines. 5th ed. Kota Kinabalu: Sabah Family Medicine Specialists Association; 2025.</t>
  </si>
  <si>
    <t>Night sweats</t>
  </si>
  <si>
    <t>Unintentional loss of appetitie</t>
  </si>
  <si>
    <t>Unintentional loss of weight</t>
  </si>
  <si>
    <t>Immunocompromised/chronic illness 
(DM, ESRF, RVD, COPD)</t>
  </si>
  <si>
    <t>Date</t>
  </si>
  <si>
    <t>Current smoker</t>
  </si>
  <si>
    <t>Surgical procedures (excluding episiotomy, 1st &amp; 2nd degree perineal repair, evacuation of products of conception)</t>
  </si>
  <si>
    <t>Systemic/postpartum infection requring IV antibiotics</t>
  </si>
  <si>
    <t>Sabah Family Medicine Specialists Association. (2025). Sabah obstetrics shared care guideline (SOSCG) (5th ed.).</t>
  </si>
  <si>
    <t>Previous unexplanied intrauterine death/stillbirth or recurrent misscarriage</t>
  </si>
  <si>
    <r>
      <t xml:space="preserve">Sabah Family Medicine Specialists Association. (2025). </t>
    </r>
    <r>
      <rPr>
        <i/>
        <sz val="12"/>
        <color theme="1"/>
        <rFont val="Calibri"/>
        <family val="2"/>
        <scheme val="minor"/>
      </rPr>
      <t>Sabah obstetrics shared care guideline (SOSCG)</t>
    </r>
    <r>
      <rPr>
        <sz val="12"/>
        <color theme="1"/>
        <rFont val="Calibri"/>
        <family val="2"/>
        <scheme val="minor"/>
      </rPr>
      <t xml:space="preserve"> (5th ed.).</t>
    </r>
  </si>
  <si>
    <t>Mid-cavity rotational instrumental delivery</t>
  </si>
  <si>
    <t>Admission beyond 3 days</t>
  </si>
  <si>
    <t>≤25kg/m2</t>
  </si>
  <si>
    <r>
      <t>&gt;25 kg/m</t>
    </r>
    <r>
      <rPr>
        <vertAlign val="superscript"/>
        <sz val="12"/>
        <color theme="1"/>
        <rFont val="Calibri"/>
        <family val="2"/>
        <scheme val="minor"/>
      </rPr>
      <t>2</t>
    </r>
  </si>
  <si>
    <r>
      <t>≤25kg/m</t>
    </r>
    <r>
      <rPr>
        <vertAlign val="superscript"/>
        <sz val="12"/>
        <color theme="1"/>
        <rFont val="Calibri"/>
        <family val="2"/>
      </rPr>
      <t>2</t>
    </r>
  </si>
  <si>
    <t>Hx of macrosomia (birth weight &gt;=4kg)</t>
  </si>
  <si>
    <t>1. Send for HBsAg ELISA, anti Hbe, HBeAg and LFT.</t>
  </si>
  <si>
    <t>2. If confirm, notify and send for HBV DNA load at 20 weeks.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</si>
</sst>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35" x14ac:knownFonts="1"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C00000"/>
      <name val="Calibri"/>
      <family val="2"/>
      <scheme val="minor"/>
    </font>
    <font>
      <sz val="14"/>
      <color theme="4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</font>
    <font>
      <sz val="7"/>
      <color theme="1"/>
      <name val="Open Sans"/>
      <family val="2"/>
    </font>
    <font>
      <sz val="10"/>
      <color rgb="FF333333"/>
      <name val="Open Sans"/>
      <family val="2"/>
    </font>
    <font>
      <b/>
      <u/>
      <sz val="10"/>
      <color rgb="FF333333"/>
      <name val="Open Sans"/>
      <family val="2"/>
    </font>
    <font>
      <sz val="7"/>
      <color theme="5" tint="0.79998168889431442"/>
      <name val="Open Sans"/>
      <family val="2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2"/>
      <color theme="1"/>
      <name val="Calibri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D14500"/>
      <name val="Source Sans Pro"/>
      <family val="2"/>
    </font>
    <font>
      <sz val="10"/>
      <color rgb="FF333333"/>
      <name val="Source Sans Pro"/>
      <family val="2"/>
    </font>
    <font>
      <i/>
      <sz val="12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BA49B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FFCCFF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164">
    <xf numFmtId="0" fontId="0" fillId="0" borderId="0" xfId="0"/>
    <xf numFmtId="0" fontId="6" fillId="2" borderId="2" xfId="0" applyFont="1" applyFill="1" applyBorder="1" applyAlignment="1">
      <alignment horizontal="center" vertical="center" wrapText="1"/>
    </xf>
    <xf numFmtId="0" fontId="0" fillId="7" borderId="0" xfId="0" applyFill="1" applyAlignment="1">
      <alignment vertical="center"/>
    </xf>
    <xf numFmtId="9" fontId="0" fillId="2" borderId="1" xfId="1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0" fontId="6" fillId="3" borderId="2" xfId="0" applyFont="1" applyFill="1" applyBorder="1" applyAlignment="1">
      <alignment horizontal="center" vertical="center" wrapText="1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wrapText="1"/>
    </xf>
    <xf numFmtId="0" fontId="0" fillId="4" borderId="0" xfId="0" applyFill="1" applyAlignment="1">
      <alignment wrapText="1"/>
    </xf>
    <xf numFmtId="0" fontId="0" fillId="4" borderId="0" xfId="0" applyFill="1" applyAlignment="1">
      <alignment horizontal="left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 wrapText="1"/>
    </xf>
    <xf numFmtId="0" fontId="16" fillId="12" borderId="0" xfId="0" applyFont="1" applyFill="1" applyAlignment="1">
      <alignment vertical="center"/>
    </xf>
    <xf numFmtId="0" fontId="16" fillId="12" borderId="0" xfId="0" applyFont="1" applyFill="1" applyAlignment="1">
      <alignment horizontal="center" vertical="center"/>
    </xf>
    <xf numFmtId="0" fontId="17" fillId="12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6" borderId="0" xfId="0" applyFont="1" applyFill="1" applyAlignment="1" applyProtection="1">
      <alignment horizontal="center" vertical="center"/>
      <protection locked="0"/>
    </xf>
    <xf numFmtId="0" fontId="18" fillId="12" borderId="0" xfId="0" applyFont="1" applyFill="1" applyAlignment="1">
      <alignment vertical="center"/>
    </xf>
    <xf numFmtId="0" fontId="17" fillId="12" borderId="0" xfId="0" applyFont="1" applyFill="1" applyAlignment="1">
      <alignment vertical="center" wrapText="1"/>
    </xf>
    <xf numFmtId="0" fontId="6" fillId="13" borderId="0" xfId="0" applyFont="1" applyFill="1" applyAlignment="1">
      <alignment horizontal="left" vertical="center"/>
    </xf>
    <xf numFmtId="0" fontId="6" fillId="13" borderId="0" xfId="0" applyFont="1" applyFill="1" applyAlignment="1">
      <alignment horizontal="center" vertical="center"/>
    </xf>
    <xf numFmtId="0" fontId="6" fillId="13" borderId="0" xfId="0" applyFont="1" applyFill="1" applyAlignment="1">
      <alignment horizontal="center" vertical="center" wrapText="1"/>
    </xf>
    <xf numFmtId="0" fontId="0" fillId="6" borderId="0" xfId="0" applyFill="1" applyAlignment="1" applyProtection="1">
      <alignment horizontal="center" vertical="center"/>
      <protection locked="0"/>
    </xf>
    <xf numFmtId="0" fontId="0" fillId="15" borderId="0" xfId="0" applyFill="1"/>
    <xf numFmtId="0" fontId="6" fillId="15" borderId="0" xfId="0" applyFont="1" applyFill="1"/>
    <xf numFmtId="14" fontId="0" fillId="6" borderId="0" xfId="0" applyNumberFormat="1" applyFill="1" applyAlignment="1" applyProtection="1">
      <alignment horizontal="center" vertical="center"/>
      <protection locked="0"/>
    </xf>
    <xf numFmtId="0" fontId="11" fillId="15" borderId="0" xfId="0" applyFont="1" applyFill="1" applyAlignment="1">
      <alignment horizontal="left" vertical="center" wrapText="1"/>
    </xf>
    <xf numFmtId="164" fontId="4" fillId="8" borderId="3" xfId="0" applyNumberFormat="1" applyFont="1" applyFill="1" applyBorder="1" applyAlignment="1" applyProtection="1">
      <alignment horizontal="center" vertical="center" wrapText="1"/>
      <protection locked="0"/>
    </xf>
    <xf numFmtId="164" fontId="4" fillId="8" borderId="8" xfId="0" applyNumberFormat="1" applyFont="1" applyFill="1" applyBorder="1" applyAlignment="1" applyProtection="1">
      <alignment horizontal="center" vertical="center" wrapText="1"/>
      <protection locked="0"/>
    </xf>
    <xf numFmtId="164" fontId="0" fillId="9" borderId="8" xfId="0" applyNumberFormat="1" applyFill="1" applyBorder="1" applyAlignment="1">
      <alignment horizontal="center" vertical="center" wrapText="1"/>
    </xf>
    <xf numFmtId="0" fontId="6" fillId="11" borderId="12" xfId="0" applyFont="1" applyFill="1" applyBorder="1" applyAlignment="1">
      <alignment horizontal="center" vertical="center" wrapText="1"/>
    </xf>
    <xf numFmtId="1" fontId="0" fillId="9" borderId="1" xfId="0" applyNumberFormat="1" applyFill="1" applyBorder="1" applyAlignment="1">
      <alignment horizontal="center" vertical="center" wrapText="1"/>
    </xf>
    <xf numFmtId="164" fontId="0" fillId="9" borderId="1" xfId="0" applyNumberFormat="1" applyFill="1" applyBorder="1" applyAlignment="1">
      <alignment horizontal="center" vertical="center" wrapText="1"/>
    </xf>
    <xf numFmtId="165" fontId="0" fillId="9" borderId="1" xfId="0" applyNumberFormat="1" applyFill="1" applyBorder="1" applyAlignment="1">
      <alignment horizontal="center" vertical="center" wrapText="1"/>
    </xf>
    <xf numFmtId="0" fontId="0" fillId="11" borderId="12" xfId="0" applyFill="1" applyBorder="1" applyAlignment="1">
      <alignment horizontal="center" vertical="center" wrapText="1"/>
    </xf>
    <xf numFmtId="0" fontId="0" fillId="5" borderId="0" xfId="0" applyFill="1"/>
    <xf numFmtId="0" fontId="13" fillId="5" borderId="0" xfId="0" applyFont="1" applyFill="1"/>
    <xf numFmtId="0" fontId="6" fillId="5" borderId="0" xfId="0" applyFont="1" applyFill="1"/>
    <xf numFmtId="0" fontId="0" fillId="5" borderId="0" xfId="0" applyFill="1" applyAlignment="1">
      <alignment horizontal="center" vertical="center"/>
    </xf>
    <xf numFmtId="0" fontId="10" fillId="5" borderId="0" xfId="0" applyFont="1" applyFill="1"/>
    <xf numFmtId="0" fontId="11" fillId="5" borderId="0" xfId="0" applyFont="1" applyFill="1"/>
    <xf numFmtId="0" fontId="0" fillId="2" borderId="0" xfId="0" applyFill="1"/>
    <xf numFmtId="0" fontId="20" fillId="2" borderId="0" xfId="0" applyFont="1" applyFill="1" applyAlignment="1">
      <alignment horizontal="left"/>
    </xf>
    <xf numFmtId="0" fontId="21" fillId="2" borderId="0" xfId="0" applyFont="1" applyFill="1" applyAlignment="1">
      <alignment vertical="center" wrapText="1"/>
    </xf>
    <xf numFmtId="0" fontId="21" fillId="2" borderId="0" xfId="0" applyFont="1" applyFill="1" applyAlignment="1">
      <alignment horizontal="left" vertical="center" wrapText="1" indent="1"/>
    </xf>
    <xf numFmtId="0" fontId="0" fillId="2" borderId="0" xfId="0" applyFill="1" applyAlignment="1">
      <alignment horizontal="center" vertical="center"/>
    </xf>
    <xf numFmtId="0" fontId="6" fillId="2" borderId="0" xfId="0" applyFont="1" applyFill="1"/>
    <xf numFmtId="0" fontId="23" fillId="2" borderId="0" xfId="0" applyFont="1" applyFill="1" applyAlignment="1">
      <alignment horizontal="left" wrapText="1"/>
    </xf>
    <xf numFmtId="0" fontId="0" fillId="16" borderId="0" xfId="0" applyFill="1" applyAlignment="1">
      <alignment horizontal="left" vertical="top"/>
    </xf>
    <xf numFmtId="0" fontId="6" fillId="16" borderId="0" xfId="0" applyFont="1" applyFill="1" applyAlignment="1">
      <alignment horizontal="left" vertical="top"/>
    </xf>
    <xf numFmtId="0" fontId="6" fillId="16" borderId="0" xfId="0" applyFont="1" applyFill="1" applyAlignment="1">
      <alignment horizontal="left" vertical="top" wrapText="1"/>
    </xf>
    <xf numFmtId="0" fontId="7" fillId="16" borderId="0" xfId="0" applyFont="1" applyFill="1" applyAlignment="1">
      <alignment horizontal="left" vertical="top"/>
    </xf>
    <xf numFmtId="0" fontId="6" fillId="7" borderId="0" xfId="0" applyFont="1" applyFill="1" applyAlignment="1">
      <alignment vertical="center"/>
    </xf>
    <xf numFmtId="2" fontId="0" fillId="16" borderId="0" xfId="0" applyNumberFormat="1" applyFill="1" applyAlignment="1">
      <alignment horizontal="left" vertical="top"/>
    </xf>
    <xf numFmtId="0" fontId="25" fillId="16" borderId="0" xfId="2" applyFont="1" applyFill="1" applyAlignment="1" applyProtection="1">
      <alignment horizontal="left" vertical="top"/>
      <protection locked="0"/>
    </xf>
    <xf numFmtId="0" fontId="24" fillId="15" borderId="0" xfId="2" applyFill="1"/>
    <xf numFmtId="0" fontId="24" fillId="5" borderId="0" xfId="2" applyFill="1" applyProtection="1">
      <protection locked="0"/>
    </xf>
    <xf numFmtId="0" fontId="24" fillId="2" borderId="0" xfId="2" applyFill="1" applyProtection="1">
      <protection locked="0"/>
    </xf>
    <xf numFmtId="0" fontId="6" fillId="17" borderId="0" xfId="0" applyFont="1" applyFill="1"/>
    <xf numFmtId="0" fontId="0" fillId="17" borderId="0" xfId="0" applyFill="1"/>
    <xf numFmtId="0" fontId="24" fillId="17" borderId="0" xfId="2" applyFill="1" applyProtection="1">
      <protection locked="0"/>
    </xf>
    <xf numFmtId="0" fontId="0" fillId="18" borderId="0" xfId="0" applyFill="1"/>
    <xf numFmtId="0" fontId="0" fillId="18" borderId="0" xfId="0" applyFill="1" applyAlignment="1">
      <alignment horizontal="center" vertical="center"/>
    </xf>
    <xf numFmtId="0" fontId="6" fillId="18" borderId="0" xfId="0" applyFont="1" applyFill="1"/>
    <xf numFmtId="0" fontId="24" fillId="18" borderId="0" xfId="2" applyFill="1"/>
    <xf numFmtId="0" fontId="24" fillId="12" borderId="0" xfId="2" applyFill="1" applyAlignment="1" applyProtection="1">
      <alignment vertical="center"/>
      <protection locked="0"/>
    </xf>
    <xf numFmtId="0" fontId="11" fillId="17" borderId="0" xfId="0" applyFont="1" applyFill="1" applyAlignment="1">
      <alignment vertical="center"/>
    </xf>
    <xf numFmtId="0" fontId="0" fillId="13" borderId="0" xfId="0" applyFill="1" applyAlignment="1">
      <alignment horizontal="left" vertical="center"/>
    </xf>
    <xf numFmtId="0" fontId="0" fillId="13" borderId="0" xfId="0" applyFill="1" applyAlignment="1">
      <alignment horizontal="center" vertical="center"/>
    </xf>
    <xf numFmtId="0" fontId="0" fillId="13" borderId="0" xfId="0" applyFill="1" applyAlignment="1">
      <alignment horizontal="left" vertical="center" wrapText="1"/>
    </xf>
    <xf numFmtId="0" fontId="0" fillId="6" borderId="0" xfId="0" applyFill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3" borderId="9" xfId="0" applyFill="1" applyBorder="1" applyAlignment="1">
      <alignment horizontal="left" vertical="center"/>
    </xf>
    <xf numFmtId="0" fontId="0" fillId="13" borderId="9" xfId="0" applyFill="1" applyBorder="1" applyAlignment="1">
      <alignment horizontal="center" vertical="center" wrapText="1"/>
    </xf>
    <xf numFmtId="0" fontId="0" fillId="13" borderId="9" xfId="0" applyFill="1" applyBorder="1" applyAlignment="1">
      <alignment horizontal="center" vertical="center"/>
    </xf>
    <xf numFmtId="0" fontId="0" fillId="13" borderId="0" xfId="0" applyFill="1" applyAlignment="1">
      <alignment horizontal="center" vertical="center" wrapText="1"/>
    </xf>
    <xf numFmtId="0" fontId="26" fillId="13" borderId="0" xfId="2" applyFont="1" applyFill="1" applyAlignment="1" applyProtection="1">
      <alignment horizontal="left" vertical="center"/>
      <protection locked="0"/>
    </xf>
    <xf numFmtId="0" fontId="0" fillId="7" borderId="0" xfId="0" applyFill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6" fillId="18" borderId="0" xfId="0" applyFont="1" applyFill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0" fillId="6" borderId="0" xfId="0" applyFill="1"/>
    <xf numFmtId="0" fontId="27" fillId="5" borderId="0" xfId="0" applyFont="1" applyFill="1"/>
    <xf numFmtId="0" fontId="0" fillId="9" borderId="0" xfId="0" applyFill="1" applyAlignment="1">
      <alignment horizontal="center" vertical="center" wrapText="1"/>
    </xf>
    <xf numFmtId="0" fontId="12" fillId="2" borderId="0" xfId="0" applyFont="1" applyFill="1" applyAlignment="1">
      <alignment horizontal="left" vertical="top" wrapText="1"/>
    </xf>
    <xf numFmtId="1" fontId="0" fillId="11" borderId="13" xfId="0" applyNumberFormat="1" applyFill="1" applyBorder="1" applyAlignment="1">
      <alignment horizontal="center" vertical="center" wrapText="1"/>
    </xf>
    <xf numFmtId="0" fontId="23" fillId="2" borderId="0" xfId="0" applyFont="1" applyFill="1" applyAlignment="1">
      <alignment horizontal="left"/>
    </xf>
    <xf numFmtId="0" fontId="0" fillId="6" borderId="0" xfId="0" applyFill="1" applyAlignment="1" applyProtection="1">
      <alignment horizontal="left" vertical="top"/>
      <protection locked="0"/>
    </xf>
    <xf numFmtId="0" fontId="0" fillId="19" borderId="0" xfId="0" applyFill="1" applyAlignment="1">
      <alignment horizontal="left" vertical="top"/>
    </xf>
    <xf numFmtId="0" fontId="6" fillId="19" borderId="0" xfId="0" applyFont="1" applyFill="1" applyAlignment="1">
      <alignment horizontal="left" vertical="top"/>
    </xf>
    <xf numFmtId="0" fontId="0" fillId="19" borderId="0" xfId="0" applyFill="1" applyAlignment="1">
      <alignment horizontal="left" vertical="top" wrapText="1"/>
    </xf>
    <xf numFmtId="0" fontId="25" fillId="16" borderId="0" xfId="2" quotePrefix="1" applyFont="1" applyFill="1" applyAlignment="1">
      <alignment horizontal="left" vertical="top"/>
    </xf>
    <xf numFmtId="0" fontId="0" fillId="9" borderId="8" xfId="0" applyFill="1" applyBorder="1" applyAlignment="1">
      <alignment horizontal="center" vertical="center" wrapText="1"/>
    </xf>
    <xf numFmtId="0" fontId="28" fillId="0" borderId="0" xfId="0" applyFont="1" applyAlignment="1">
      <alignment horizontal="justify" vertical="center" wrapText="1"/>
    </xf>
    <xf numFmtId="0" fontId="29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wrapText="1"/>
    </xf>
    <xf numFmtId="0" fontId="32" fillId="0" borderId="0" xfId="0" applyFont="1"/>
    <xf numFmtId="0" fontId="29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0" fillId="15" borderId="0" xfId="0" applyFill="1" applyAlignment="1">
      <alignment wrapText="1"/>
    </xf>
    <xf numFmtId="0" fontId="0" fillId="0" borderId="0" xfId="0" applyAlignment="1">
      <alignment horizontal="center" vertical="center"/>
    </xf>
    <xf numFmtId="0" fontId="0" fillId="12" borderId="0" xfId="0" applyFill="1" applyAlignment="1">
      <alignment vertical="center"/>
    </xf>
    <xf numFmtId="0" fontId="13" fillId="12" borderId="0" xfId="0" applyFont="1" applyFill="1" applyAlignment="1">
      <alignment vertical="center"/>
    </xf>
    <xf numFmtId="0" fontId="11" fillId="13" borderId="0" xfId="0" applyFont="1" applyFill="1" applyAlignment="1">
      <alignment horizontal="left" vertical="center" wrapText="1"/>
    </xf>
    <xf numFmtId="0" fontId="11" fillId="7" borderId="0" xfId="0" applyFont="1" applyFill="1" applyAlignment="1">
      <alignment horizontal="left" vertical="center"/>
    </xf>
    <xf numFmtId="14" fontId="0" fillId="7" borderId="0" xfId="0" applyNumberFormat="1" applyFill="1" applyAlignment="1">
      <alignment horizontal="left" vertical="center"/>
    </xf>
    <xf numFmtId="14" fontId="0" fillId="6" borderId="0" xfId="0" applyNumberFormat="1" applyFill="1" applyAlignment="1" applyProtection="1">
      <alignment horizontal="center" vertical="center"/>
      <protection locked="0"/>
    </xf>
    <xf numFmtId="14" fontId="0" fillId="7" borderId="0" xfId="0" applyNumberFormat="1" applyFill="1" applyAlignment="1">
      <alignment horizontal="center" vertical="center"/>
    </xf>
    <xf numFmtId="0" fontId="0" fillId="9" borderId="0" xfId="0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4" fontId="0" fillId="7" borderId="0" xfId="0" applyNumberFormat="1" applyFill="1" applyAlignment="1">
      <alignment horizontal="center" vertical="distributed"/>
    </xf>
    <xf numFmtId="0" fontId="24" fillId="7" borderId="0" xfId="2" applyFill="1" applyAlignment="1">
      <alignment horizontal="left" vertical="center"/>
    </xf>
    <xf numFmtId="0" fontId="0" fillId="15" borderId="0" xfId="0" applyFill="1" applyAlignment="1">
      <alignment horizontal="left"/>
    </xf>
    <xf numFmtId="0" fontId="11" fillId="15" borderId="0" xfId="0" applyFont="1" applyFill="1" applyAlignment="1">
      <alignment horizontal="left" vertical="center" wrapText="1"/>
    </xf>
    <xf numFmtId="0" fontId="0" fillId="5" borderId="0" xfId="0" applyFill="1" applyAlignment="1">
      <alignment horizontal="left" vertical="center"/>
    </xf>
    <xf numFmtId="0" fontId="6" fillId="10" borderId="8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1" fontId="2" fillId="4" borderId="6" xfId="0" applyNumberFormat="1" applyFont="1" applyFill="1" applyBorder="1" applyAlignment="1">
      <alignment horizontal="center" vertical="center" wrapText="1"/>
    </xf>
    <xf numFmtId="1" fontId="2" fillId="4" borderId="3" xfId="0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1" fontId="0" fillId="11" borderId="4" xfId="0" applyNumberFormat="1" applyFill="1" applyBorder="1" applyAlignment="1">
      <alignment horizontal="center" vertical="center" wrapText="1"/>
    </xf>
    <xf numFmtId="1" fontId="0" fillId="11" borderId="7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0" fillId="9" borderId="10" xfId="0" applyFill="1" applyBorder="1" applyAlignment="1">
      <alignment horizontal="center" vertical="center" wrapText="1"/>
    </xf>
    <xf numFmtId="0" fontId="0" fillId="9" borderId="11" xfId="0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0" fillId="9" borderId="8" xfId="0" applyFill="1" applyBorder="1" applyAlignment="1" applyProtection="1">
      <alignment horizontal="center" vertical="center" wrapText="1"/>
      <protection locked="0"/>
    </xf>
    <xf numFmtId="2" fontId="0" fillId="11" borderId="8" xfId="0" applyNumberFormat="1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 vertical="center" wrapText="1"/>
    </xf>
    <xf numFmtId="0" fontId="0" fillId="11" borderId="14" xfId="0" applyFill="1" applyBorder="1" applyAlignment="1">
      <alignment horizontal="center" vertical="center" wrapText="1"/>
    </xf>
    <xf numFmtId="164" fontId="0" fillId="9" borderId="10" xfId="0" applyNumberFormat="1" applyFill="1" applyBorder="1" applyAlignment="1">
      <alignment horizontal="center" vertical="center" wrapText="1"/>
    </xf>
    <xf numFmtId="164" fontId="0" fillId="9" borderId="14" xfId="0" applyNumberFormat="1" applyFill="1" applyBorder="1" applyAlignment="1">
      <alignment horizontal="center" vertical="center" wrapText="1"/>
    </xf>
    <xf numFmtId="164" fontId="0" fillId="9" borderId="11" xfId="0" applyNumberFormat="1" applyFill="1" applyBorder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2" fontId="1" fillId="4" borderId="3" xfId="0" applyNumberFormat="1" applyFont="1" applyFill="1" applyBorder="1" applyAlignment="1">
      <alignment horizontal="center" vertical="center" wrapText="1"/>
    </xf>
    <xf numFmtId="2" fontId="1" fillId="4" borderId="7" xfId="0" applyNumberFormat="1" applyFont="1" applyFill="1" applyBorder="1" applyAlignment="1">
      <alignment horizontal="center" vertical="center" wrapText="1"/>
    </xf>
    <xf numFmtId="1" fontId="3" fillId="4" borderId="6" xfId="0" applyNumberFormat="1" applyFont="1" applyFill="1" applyBorder="1" applyAlignment="1">
      <alignment horizontal="center" vertical="center" wrapText="1"/>
    </xf>
    <xf numFmtId="1" fontId="3" fillId="4" borderId="3" xfId="0" applyNumberFormat="1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Per cent" xfId="1" builtinId="5"/>
  </cellStyles>
  <dxfs count="21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solid">
          <fgColor theme="1"/>
          <bgColor theme="1"/>
        </patternFill>
      </fill>
    </dxf>
    <dxf>
      <font>
        <color theme="1"/>
      </font>
      <fill>
        <patternFill patternType="solid">
          <fgColor theme="1"/>
          <bgColor theme="1"/>
        </patternFill>
      </fill>
    </dxf>
    <dxf>
      <fill>
        <patternFill patternType="solid">
          <fgColor theme="1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CC"/>
      <color rgb="FFFFCCFF"/>
      <color rgb="FFFFCC66"/>
      <color rgb="FF66FFCC"/>
      <color rgb="FFFF9933"/>
      <color rgb="FFCCECFF"/>
      <color rgb="FFCC99FF"/>
      <color rgb="FFFBA4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://creativecommons.org/licenses/by-nc/4.0/?ref=chooser-v1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106650</xdr:colOff>
      <xdr:row>0</xdr:row>
      <xdr:rowOff>143295</xdr:rowOff>
    </xdr:from>
    <xdr:to>
      <xdr:col>13</xdr:col>
      <xdr:colOff>240232</xdr:colOff>
      <xdr:row>23</xdr:row>
      <xdr:rowOff>129594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66F6D8B-A8B1-70E5-8B5B-44A61930C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53840" y="143295"/>
          <a:ext cx="3378826" cy="48035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190500</xdr:rowOff>
    </xdr:to>
    <xdr:sp macro="" textlink="">
      <xdr:nvSpPr>
        <xdr:cNvPr id="2" name="AutoShape 1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E4F4C340-8162-465A-910C-2D4F7FF7761F}"/>
            </a:ext>
          </a:extLst>
        </xdr:cNvPr>
        <xdr:cNvSpPr>
          <a:spLocks noChangeAspect="1" noChangeArrowheads="1"/>
        </xdr:cNvSpPr>
      </xdr:nvSpPr>
      <xdr:spPr bwMode="auto">
        <a:xfrm>
          <a:off x="0" y="13958888"/>
          <a:ext cx="1905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188199</xdr:rowOff>
    </xdr:to>
    <xdr:sp macro="" textlink="">
      <xdr:nvSpPr>
        <xdr:cNvPr id="3" name="AutoShape 1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F1316FDF-BDF6-46B0-AB3B-A630F69E256F}"/>
            </a:ext>
          </a:extLst>
        </xdr:cNvPr>
        <xdr:cNvSpPr>
          <a:spLocks noChangeAspect="1" noChangeArrowheads="1"/>
        </xdr:cNvSpPr>
      </xdr:nvSpPr>
      <xdr:spPr bwMode="auto">
        <a:xfrm>
          <a:off x="0" y="13668375"/>
          <a:ext cx="190500" cy="188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1F0E497-3C43-4C4A-915A-DA3E317765BD}">
  <we:reference id="wa200001095" version="1.0.0.3" store="en-US" storeType="OMEX"/>
  <we:alternateReferences>
    <we:reference id="WA200001095" version="1.0.0.3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64714-2200-4B17-8A02-5EC5D82C5B18}">
  <dimension ref="B1:J35"/>
  <sheetViews>
    <sheetView showGridLines="0" showRowColHeaders="0" topLeftCell="A6" zoomScale="91" zoomScaleNormal="80" workbookViewId="0">
      <selection activeCell="C8" sqref="C8"/>
    </sheetView>
  </sheetViews>
  <sheetFormatPr defaultColWidth="8.625" defaultRowHeight="15.75" x14ac:dyDescent="0.5"/>
  <cols>
    <col min="1" max="1" width="8.625" style="53"/>
    <col min="2" max="2" width="3.125" style="53" customWidth="1"/>
    <col min="3" max="3" width="20.6875" style="53" bestFit="1" customWidth="1"/>
    <col min="4" max="4" width="42.3125" style="53" bestFit="1" customWidth="1"/>
    <col min="5" max="6" width="1.875" style="53" hidden="1" customWidth="1"/>
    <col min="7" max="7" width="42.3125" style="53" bestFit="1" customWidth="1"/>
    <col min="8" max="9" width="1.875" style="53" hidden="1" customWidth="1"/>
    <col min="10" max="10" width="42.3125" style="53" bestFit="1" customWidth="1"/>
    <col min="11" max="16384" width="8.625" style="53"/>
  </cols>
  <sheetData>
    <row r="1" spans="2:10" ht="18" x14ac:dyDescent="0.5">
      <c r="B1" s="56" t="s">
        <v>131</v>
      </c>
      <c r="C1" s="56"/>
      <c r="D1" s="56"/>
    </row>
    <row r="3" spans="2:10" x14ac:dyDescent="0.5">
      <c r="B3" s="54">
        <v>1</v>
      </c>
      <c r="C3" s="59" t="s">
        <v>155</v>
      </c>
      <c r="D3" s="53" t="str">
        <f ca="1">'Age Calculator'!C6</f>
        <v>ENTER BIRTHDAY DATE</v>
      </c>
    </row>
    <row r="5" spans="2:10" x14ac:dyDescent="0.5">
      <c r="B5" s="54">
        <v>2</v>
      </c>
      <c r="C5" s="59" t="s">
        <v>137</v>
      </c>
      <c r="D5" s="54" t="s">
        <v>128</v>
      </c>
      <c r="E5" s="54"/>
      <c r="F5" s="54"/>
      <c r="G5" s="54" t="s">
        <v>129</v>
      </c>
    </row>
    <row r="6" spans="2:10" x14ac:dyDescent="0.5">
      <c r="D6" s="53" t="str" cm="1">
        <f t="array" aca="1" ref="D6:F6" ca="1">('Gestational Age Calculator'!C4:E4)</f>
        <v>ENTER LMP DATE</v>
      </c>
      <c r="E6" s="53">
        <f ca="1"/>
        <v>0</v>
      </c>
      <c r="F6" s="53">
        <f ca="1"/>
        <v>0</v>
      </c>
      <c r="G6" s="53" t="str" cm="1">
        <f t="array" aca="1" ref="G6:I6" ca="1">'Gestational Age Calculator'!C8:E8</f>
        <v>ENTER REDD FROM USG</v>
      </c>
      <c r="H6" s="53">
        <f ca="1"/>
        <v>0</v>
      </c>
      <c r="I6" s="53">
        <f ca="1"/>
        <v>0</v>
      </c>
    </row>
    <row r="8" spans="2:10" x14ac:dyDescent="0.5">
      <c r="B8" s="54">
        <v>3</v>
      </c>
      <c r="C8" s="59" t="s">
        <v>125</v>
      </c>
      <c r="D8" s="55" t="s">
        <v>72</v>
      </c>
      <c r="G8" s="55" t="s">
        <v>73</v>
      </c>
      <c r="J8" s="54" t="s">
        <v>69</v>
      </c>
    </row>
    <row r="9" spans="2:10" x14ac:dyDescent="0.5">
      <c r="C9" s="53" t="s">
        <v>130</v>
      </c>
      <c r="D9" s="53">
        <f>'VTE Screening'!E35</f>
        <v>0</v>
      </c>
      <c r="G9" s="53">
        <f>'VTE Screening'!G35</f>
        <v>0</v>
      </c>
      <c r="J9" s="53">
        <f>'VTE Screening'!I35</f>
        <v>0</v>
      </c>
    </row>
    <row r="10" spans="2:10" x14ac:dyDescent="0.5">
      <c r="C10" s="53" t="s">
        <v>47</v>
      </c>
      <c r="D10" s="53" t="str">
        <f>'VTE Screening'!E37</f>
        <v>Encourage mobilisation and adequate hydration</v>
      </c>
      <c r="G10" s="53" t="str">
        <f>'VTE Screening'!G37</f>
        <v>Encourage mobilisation and adequate hydration</v>
      </c>
      <c r="J10" s="53" t="str">
        <f>'VTE Screening'!I37</f>
        <v>Encourage mobilisation and adequate hydration</v>
      </c>
    </row>
    <row r="12" spans="2:10" x14ac:dyDescent="0.5">
      <c r="B12" s="54">
        <v>4</v>
      </c>
      <c r="C12" s="59" t="s">
        <v>126</v>
      </c>
      <c r="D12" s="53" t="str">
        <f>'GDM Screening'!G5</f>
        <v>MOGTT at POG 24-28 weeks.</v>
      </c>
    </row>
    <row r="13" spans="2:10" x14ac:dyDescent="0.5">
      <c r="C13" s="54"/>
    </row>
    <row r="14" spans="2:10" x14ac:dyDescent="0.5">
      <c r="B14" s="54">
        <v>5</v>
      </c>
      <c r="C14" s="59" t="s">
        <v>127</v>
      </c>
      <c r="D14" s="53" t="str" cm="1">
        <f t="array" ref="D14:E14">'PTB Screening'!B15:C15</f>
        <v>To screen accordingly during each ANC visit.</v>
      </c>
      <c r="E14" s="53">
        <v>0</v>
      </c>
    </row>
    <row r="16" spans="2:10" x14ac:dyDescent="0.5">
      <c r="B16" s="54">
        <v>6</v>
      </c>
      <c r="C16" s="59" t="s">
        <v>110</v>
      </c>
    </row>
    <row r="17" spans="2:7" x14ac:dyDescent="0.5">
      <c r="C17" s="53" t="s">
        <v>130</v>
      </c>
      <c r="D17" s="53">
        <f>'PHQ and GAD'!C22</f>
        <v>0</v>
      </c>
    </row>
    <row r="18" spans="2:7" x14ac:dyDescent="0.5">
      <c r="C18" s="53" t="s">
        <v>47</v>
      </c>
      <c r="D18" s="53" t="str">
        <f>'PHQ and GAD'!B9</f>
        <v>Screen at other visits accordingly.</v>
      </c>
    </row>
    <row r="20" spans="2:7" x14ac:dyDescent="0.5">
      <c r="B20" s="54">
        <v>7</v>
      </c>
      <c r="C20" s="59" t="s">
        <v>119</v>
      </c>
    </row>
    <row r="21" spans="2:7" x14ac:dyDescent="0.5">
      <c r="C21" s="53" t="s">
        <v>130</v>
      </c>
      <c r="D21" s="53">
        <f>'PHQ and GAD'!C22</f>
        <v>0</v>
      </c>
    </row>
    <row r="22" spans="2:7" x14ac:dyDescent="0.5">
      <c r="C22" s="53" t="s">
        <v>47</v>
      </c>
      <c r="D22" s="53" t="str">
        <f>'PHQ and GAD'!B25</f>
        <v>Screen at other visits accordingly.</v>
      </c>
    </row>
    <row r="24" spans="2:7" x14ac:dyDescent="0.5">
      <c r="B24" s="54">
        <v>8</v>
      </c>
      <c r="C24" s="59" t="s">
        <v>107</v>
      </c>
      <c r="D24" s="53" t="str" cm="1">
        <f t="array" ref="D24:E24">'PE Prophylaxis'!B16:C16</f>
        <v>Continue antenatal follow-up.</v>
      </c>
      <c r="E24" s="53">
        <v>0</v>
      </c>
    </row>
    <row r="26" spans="2:7" x14ac:dyDescent="0.5">
      <c r="B26" s="54">
        <v>9</v>
      </c>
      <c r="C26" s="59" t="s">
        <v>133</v>
      </c>
    </row>
    <row r="27" spans="2:7" x14ac:dyDescent="0.5">
      <c r="C27" s="53" t="s">
        <v>3</v>
      </c>
      <c r="D27" s="53" t="e">
        <f>Anaemia!#REF!</f>
        <v>#REF!</v>
      </c>
      <c r="G27" s="53" t="e">
        <f>Anaemia!#REF!</f>
        <v>#REF!</v>
      </c>
    </row>
    <row r="28" spans="2:7" x14ac:dyDescent="0.5">
      <c r="C28" s="53" t="s">
        <v>134</v>
      </c>
      <c r="D28" s="53" t="e">
        <f>Anaemia!#REF!</f>
        <v>#REF!</v>
      </c>
    </row>
    <row r="29" spans="2:7" x14ac:dyDescent="0.5">
      <c r="C29" s="53" t="s">
        <v>135</v>
      </c>
      <c r="D29" s="58" t="e">
        <f>Anaemia!#REF!</f>
        <v>#REF!</v>
      </c>
    </row>
    <row r="30" spans="2:7" x14ac:dyDescent="0.5">
      <c r="C30" s="53" t="s">
        <v>136</v>
      </c>
      <c r="D30" s="53" t="e">
        <f>Anaemia!#REF!</f>
        <v>#REF!</v>
      </c>
    </row>
    <row r="32" spans="2:7" x14ac:dyDescent="0.5">
      <c r="B32" s="54">
        <v>10</v>
      </c>
      <c r="C32" s="96" t="s">
        <v>177</v>
      </c>
      <c r="D32" s="53" t="str">
        <f>'Preterm Birth Screening'!B14</f>
        <v>Proceed to further risk assessment.</v>
      </c>
    </row>
    <row r="33" spans="2:4" x14ac:dyDescent="0.5">
      <c r="B33" s="54"/>
      <c r="C33" s="96"/>
      <c r="D33" s="53" t="str">
        <f>'Preterm Birth Screening'!B32</f>
        <v>Continue ANC</v>
      </c>
    </row>
    <row r="34" spans="2:4" x14ac:dyDescent="0.5">
      <c r="B34" s="54"/>
      <c r="C34" s="96"/>
    </row>
    <row r="35" spans="2:4" x14ac:dyDescent="0.5">
      <c r="B35" s="54">
        <v>11</v>
      </c>
      <c r="C35" s="59" t="s">
        <v>151</v>
      </c>
    </row>
  </sheetData>
  <sheetProtection sheet="1"/>
  <hyperlinks>
    <hyperlink ref="C5" location="'Gestational Age Calculator'!C2" display="Gestational Age" xr:uid="{7FBBA485-D013-4D70-B6DA-709FD61938A8}"/>
    <hyperlink ref="C8" location="'VTE Screening'!E6" display="VTE" xr:uid="{339C9E3B-8FB5-448D-BE46-A542EE1C634B}"/>
    <hyperlink ref="C12" location="'GDM Screening'!C4" display="GDM" xr:uid="{BA901277-C9AD-4ACE-A7A5-46E9D13C48A4}"/>
    <hyperlink ref="C14" location="'PTB Screening'!A1" display="PTB" xr:uid="{163225FE-D7BF-4627-A42C-A2A2991112FE}"/>
    <hyperlink ref="C16" location="'PHQ and GAD'!C4" display="PHQ-2" xr:uid="{0F5859F9-6055-4A21-A454-E684290335FB}"/>
    <hyperlink ref="C20" location="'PHQ and GAD'!C13" display="GAD-2" xr:uid="{49635AB6-2455-4BDE-B596-CF9191A493B6}"/>
    <hyperlink ref="C24" location="'PE Prophylaxis'!C3" display="PE PROPHYLAXIS" xr:uid="{9CEB5422-AE0A-4890-A695-EEFA7CCE9191}"/>
    <hyperlink ref="C26" location="Anaemia!B7" display="Anemia" xr:uid="{3B71BDF9-45CB-4380-B677-DD012DFFE16E}"/>
    <hyperlink ref="C35" location="STI!A1" display="STI brief guideline" xr:uid="{0C23C0B2-18CF-408E-A61D-969C2E552AE1}"/>
    <hyperlink ref="C3" location="'Age Calculator'!C4" display="Age Calculator" xr:uid="{57EF0C7B-024C-4DA6-9BC1-8DEB5D4CF05C}"/>
    <hyperlink ref="C32" location="'Preterm Birth Screening'!A1" display="Preterm Birth Screening" xr:uid="{4453BE98-2502-4586-AB48-51A2A3014A73}"/>
  </hyperlink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879DA-5736-4AFB-8A07-FAAD46AB47F2}">
  <dimension ref="A1:D32"/>
  <sheetViews>
    <sheetView topLeftCell="A5" zoomScale="121" workbookViewId="0">
      <selection activeCell="A5" sqref="A5"/>
    </sheetView>
  </sheetViews>
  <sheetFormatPr defaultColWidth="9" defaultRowHeight="15.75" x14ac:dyDescent="0.5"/>
  <cols>
    <col min="1" max="1" width="1.6875" style="93" bestFit="1" customWidth="1"/>
    <col min="2" max="2" width="49.375" style="93" bestFit="1" customWidth="1"/>
    <col min="3" max="3" width="9" style="93"/>
    <col min="4" max="4" width="1.6875" style="93" hidden="1" customWidth="1"/>
    <col min="5" max="16384" width="9" style="93"/>
  </cols>
  <sheetData>
    <row r="1" spans="1:4" x14ac:dyDescent="0.5">
      <c r="B1" s="94" t="s">
        <v>177</v>
      </c>
    </row>
    <row r="2" spans="1:4" x14ac:dyDescent="0.5">
      <c r="B2" s="94"/>
    </row>
    <row r="3" spans="1:4" x14ac:dyDescent="0.5">
      <c r="B3" s="94" t="s">
        <v>178</v>
      </c>
    </row>
    <row r="5" spans="1:4" x14ac:dyDescent="0.5">
      <c r="A5" s="93">
        <v>1</v>
      </c>
      <c r="B5" s="93" t="s">
        <v>179</v>
      </c>
      <c r="C5" s="92" t="s">
        <v>45</v>
      </c>
    </row>
    <row r="6" spans="1:4" x14ac:dyDescent="0.5">
      <c r="A6" s="93">
        <v>2</v>
      </c>
      <c r="B6" s="93" t="s">
        <v>180</v>
      </c>
      <c r="C6" s="92" t="s">
        <v>45</v>
      </c>
    </row>
    <row r="7" spans="1:4" x14ac:dyDescent="0.5">
      <c r="A7" s="93">
        <v>3</v>
      </c>
      <c r="B7" s="93" t="s">
        <v>181</v>
      </c>
      <c r="C7" s="92" t="s">
        <v>44</v>
      </c>
    </row>
    <row r="8" spans="1:4" x14ac:dyDescent="0.5">
      <c r="A8" s="93">
        <v>4</v>
      </c>
      <c r="B8" s="93" t="s">
        <v>182</v>
      </c>
      <c r="C8" s="92" t="s">
        <v>45</v>
      </c>
    </row>
    <row r="9" spans="1:4" x14ac:dyDescent="0.5">
      <c r="A9" s="93">
        <v>5</v>
      </c>
      <c r="B9" s="93" t="s">
        <v>183</v>
      </c>
      <c r="C9" s="92" t="s">
        <v>45</v>
      </c>
    </row>
    <row r="10" spans="1:4" x14ac:dyDescent="0.5">
      <c r="A10" s="93">
        <v>6</v>
      </c>
      <c r="B10" s="93" t="s">
        <v>184</v>
      </c>
      <c r="C10" s="92" t="s">
        <v>45</v>
      </c>
    </row>
    <row r="11" spans="1:4" x14ac:dyDescent="0.5">
      <c r="A11" s="93">
        <v>7</v>
      </c>
      <c r="B11" s="93" t="s">
        <v>185</v>
      </c>
      <c r="C11" s="92" t="s">
        <v>45</v>
      </c>
      <c r="D11" s="93">
        <f>COUNTIF(C5:C11,"Yes")</f>
        <v>1</v>
      </c>
    </row>
    <row r="13" spans="1:4" x14ac:dyDescent="0.5">
      <c r="B13" s="94" t="s">
        <v>47</v>
      </c>
    </row>
    <row r="14" spans="1:4" x14ac:dyDescent="0.5">
      <c r="B14" s="93" t="str">
        <f>IF(D11&gt;=1, "Proceed to further risk assessment.", "Continue ANC")</f>
        <v>Proceed to further risk assessment.</v>
      </c>
    </row>
    <row r="16" spans="1:4" x14ac:dyDescent="0.5">
      <c r="B16" s="94" t="s">
        <v>186</v>
      </c>
    </row>
    <row r="17" spans="1:4" ht="31.5" x14ac:dyDescent="0.5">
      <c r="A17" s="93">
        <v>1</v>
      </c>
      <c r="B17" s="95" t="s">
        <v>187</v>
      </c>
      <c r="C17" s="92" t="s">
        <v>45</v>
      </c>
    </row>
    <row r="18" spans="1:4" ht="31.5" x14ac:dyDescent="0.5">
      <c r="A18" s="93">
        <v>2</v>
      </c>
      <c r="B18" s="95" t="s">
        <v>188</v>
      </c>
      <c r="C18" s="92" t="s">
        <v>45</v>
      </c>
    </row>
    <row r="19" spans="1:4" ht="35.75" customHeight="1" x14ac:dyDescent="0.5">
      <c r="A19" s="93">
        <v>3</v>
      </c>
      <c r="B19" s="95" t="s">
        <v>189</v>
      </c>
      <c r="C19" s="92" t="s">
        <v>45</v>
      </c>
    </row>
    <row r="20" spans="1:4" x14ac:dyDescent="0.5">
      <c r="A20" s="93">
        <v>4</v>
      </c>
      <c r="B20" s="95" t="s">
        <v>190</v>
      </c>
      <c r="C20" s="92" t="s">
        <v>45</v>
      </c>
    </row>
    <row r="21" spans="1:4" ht="31.5" x14ac:dyDescent="0.5">
      <c r="A21" s="93">
        <v>5</v>
      </c>
      <c r="B21" s="95" t="s">
        <v>191</v>
      </c>
      <c r="C21" s="92" t="s">
        <v>45</v>
      </c>
      <c r="D21" s="93">
        <f>COUNTIF(C17:C21,"Yes")</f>
        <v>0</v>
      </c>
    </row>
    <row r="22" spans="1:4" x14ac:dyDescent="0.5">
      <c r="B22" s="95"/>
    </row>
    <row r="23" spans="1:4" x14ac:dyDescent="0.5">
      <c r="B23" s="95" t="s">
        <v>197</v>
      </c>
    </row>
    <row r="24" spans="1:4" ht="47.25" x14ac:dyDescent="0.5">
      <c r="B24" s="95" t="s">
        <v>198</v>
      </c>
    </row>
    <row r="25" spans="1:4" ht="63" x14ac:dyDescent="0.5">
      <c r="B25" s="95" t="s">
        <v>192</v>
      </c>
    </row>
    <row r="26" spans="1:4" ht="47.25" x14ac:dyDescent="0.5">
      <c r="B26" s="95" t="s">
        <v>193</v>
      </c>
    </row>
    <row r="27" spans="1:4" x14ac:dyDescent="0.5">
      <c r="B27" s="95" t="s">
        <v>194</v>
      </c>
    </row>
    <row r="28" spans="1:4" ht="31.5" x14ac:dyDescent="0.5">
      <c r="B28" s="95" t="s">
        <v>195</v>
      </c>
    </row>
    <row r="29" spans="1:4" x14ac:dyDescent="0.5">
      <c r="B29" s="95" t="s">
        <v>196</v>
      </c>
    </row>
    <row r="31" spans="1:4" x14ac:dyDescent="0.5">
      <c r="B31" s="94" t="s">
        <v>47</v>
      </c>
    </row>
    <row r="32" spans="1:4" x14ac:dyDescent="0.5">
      <c r="B32" s="93" t="str">
        <f>IF(D21&gt;=1, "Refer O&amp;G", "Continue ANC")</f>
        <v>Continue ANC</v>
      </c>
    </row>
  </sheetData>
  <sheetProtection sheet="1" objects="1" scenarios="1"/>
  <dataValidations count="1">
    <dataValidation type="list" allowBlank="1" showInputMessage="1" showErrorMessage="1" sqref="C5:C11 C17:C21" xr:uid="{2B6EE694-8999-4F7C-A6A5-990CF5039E45}">
      <formula1>"Yes, No"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BCD3D-ECC2-47B8-8DE1-9CCFC850E306}">
  <dimension ref="B2:B28"/>
  <sheetViews>
    <sheetView showGridLines="0" topLeftCell="A6" zoomScale="101" zoomScaleNormal="25" workbookViewId="0">
      <selection activeCell="B25" sqref="B25"/>
    </sheetView>
  </sheetViews>
  <sheetFormatPr defaultColWidth="8.625" defaultRowHeight="15.75" x14ac:dyDescent="0.5"/>
  <cols>
    <col min="1" max="16384" width="8.625" style="64"/>
  </cols>
  <sheetData>
    <row r="2" spans="2:2" x14ac:dyDescent="0.5">
      <c r="B2" s="63" t="s">
        <v>139</v>
      </c>
    </row>
    <row r="4" spans="2:2" x14ac:dyDescent="0.5">
      <c r="B4" s="64" t="s">
        <v>47</v>
      </c>
    </row>
    <row r="5" spans="2:2" x14ac:dyDescent="0.5">
      <c r="B5" s="64" t="s">
        <v>140</v>
      </c>
    </row>
    <row r="6" spans="2:2" x14ac:dyDescent="0.5">
      <c r="B6" s="64" t="s">
        <v>141</v>
      </c>
    </row>
    <row r="7" spans="2:2" x14ac:dyDescent="0.5">
      <c r="B7" s="64" t="s">
        <v>142</v>
      </c>
    </row>
    <row r="9" spans="2:2" x14ac:dyDescent="0.5">
      <c r="B9" s="63" t="s">
        <v>143</v>
      </c>
    </row>
    <row r="11" spans="2:2" x14ac:dyDescent="0.5">
      <c r="B11" s="64" t="s">
        <v>47</v>
      </c>
    </row>
    <row r="12" spans="2:2" x14ac:dyDescent="0.5">
      <c r="B12" s="64" t="s">
        <v>146</v>
      </c>
    </row>
    <row r="13" spans="2:2" x14ac:dyDescent="0.5">
      <c r="B13" s="64" t="s">
        <v>144</v>
      </c>
    </row>
    <row r="14" spans="2:2" x14ac:dyDescent="0.5">
      <c r="B14" s="64" t="s">
        <v>145</v>
      </c>
    </row>
    <row r="15" spans="2:2" x14ac:dyDescent="0.5">
      <c r="B15" s="64" t="s">
        <v>147</v>
      </c>
    </row>
    <row r="17" spans="2:2" x14ac:dyDescent="0.5">
      <c r="B17" s="63" t="s">
        <v>148</v>
      </c>
    </row>
    <row r="19" spans="2:2" x14ac:dyDescent="0.5">
      <c r="B19" s="64" t="s">
        <v>47</v>
      </c>
    </row>
    <row r="20" spans="2:2" x14ac:dyDescent="0.5">
      <c r="B20" s="64" t="s">
        <v>230</v>
      </c>
    </row>
    <row r="21" spans="2:2" x14ac:dyDescent="0.5">
      <c r="B21" s="64" t="s">
        <v>231</v>
      </c>
    </row>
    <row r="22" spans="2:2" x14ac:dyDescent="0.5">
      <c r="B22" s="64" t="s">
        <v>149</v>
      </c>
    </row>
    <row r="23" spans="2:2" x14ac:dyDescent="0.5">
      <c r="B23" s="64" t="s">
        <v>150</v>
      </c>
    </row>
    <row r="25" spans="2:2" x14ac:dyDescent="0.5">
      <c r="B25" s="65" t="s">
        <v>138</v>
      </c>
    </row>
    <row r="27" spans="2:2" x14ac:dyDescent="0.5">
      <c r="B27" s="63" t="s">
        <v>122</v>
      </c>
    </row>
    <row r="28" spans="2:2" x14ac:dyDescent="0.5">
      <c r="B28" s="71" t="s">
        <v>156</v>
      </c>
    </row>
  </sheetData>
  <sheetProtection sheet="1" objects="1" scenarios="1" selectLockedCells="1"/>
  <hyperlinks>
    <hyperlink ref="B25" location="Summary!C32" display="BACK TO SUMMARY SHEET" xr:uid="{265F634F-4C70-41F3-B383-67612395ECA8}"/>
  </hyperlink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DD7AC-7946-457C-818A-82E11AD40C8C}">
  <dimension ref="B3:D9"/>
  <sheetViews>
    <sheetView workbookViewId="0">
      <selection activeCell="C4" sqref="C4"/>
    </sheetView>
  </sheetViews>
  <sheetFormatPr defaultColWidth="8.625" defaultRowHeight="15.75" x14ac:dyDescent="0.5"/>
  <cols>
    <col min="1" max="1" width="8.625" style="66"/>
    <col min="2" max="2" width="17.125" style="66" bestFit="1" customWidth="1"/>
    <col min="3" max="3" width="20" style="66" bestFit="1" customWidth="1"/>
    <col min="4" max="16384" width="8.625" style="66"/>
  </cols>
  <sheetData>
    <row r="3" spans="2:4" x14ac:dyDescent="0.5">
      <c r="C3" s="84" t="s">
        <v>154</v>
      </c>
    </row>
    <row r="4" spans="2:4" x14ac:dyDescent="0.5">
      <c r="B4" s="68" t="s">
        <v>152</v>
      </c>
      <c r="C4" s="30"/>
    </row>
    <row r="5" spans="2:4" x14ac:dyDescent="0.5">
      <c r="B5" s="68"/>
      <c r="C5" s="67"/>
    </row>
    <row r="6" spans="2:4" x14ac:dyDescent="0.5">
      <c r="B6" s="68" t="s">
        <v>153</v>
      </c>
      <c r="C6" s="84" t="str">
        <f ca="1">IF(ISBLANK(C4),"ENTER BIRTHDAY DATE",DATEDIF(C4,TODAY(),"y")&amp;" Y "&amp;DATEDIF(C4,TODAY(),"ym")&amp;" M "&amp;DATEDIF(C4,TODAY(),"md")&amp;" D")</f>
        <v>ENTER BIRTHDAY DATE</v>
      </c>
    </row>
    <row r="7" spans="2:4" x14ac:dyDescent="0.5">
      <c r="B7" s="68" t="s">
        <v>162</v>
      </c>
      <c r="C7" s="30"/>
      <c r="D7" s="68" t="str">
        <f>IF(ISBLANK(C4),"ENTER BIRTHDAY DATE",DATEDIF(C4,C7,"y")&amp;" Y "&amp;DATEDIF(C4,C7,"ym")&amp;" M "&amp;DATEDIF(C4,C7,"md")&amp;" D")</f>
        <v>ENTER BIRTHDAY DATE</v>
      </c>
    </row>
    <row r="9" spans="2:4" x14ac:dyDescent="0.5">
      <c r="B9" s="69" t="s">
        <v>138</v>
      </c>
    </row>
  </sheetData>
  <sheetProtection sheet="1"/>
  <hyperlinks>
    <hyperlink ref="B9" location="Summary!C3" display="BACK TO SUMMARY SHEET" xr:uid="{C2D4AF20-50A0-477B-B680-9A759ADD0778}"/>
  </hyperlinks>
  <pageMargins left="0.7" right="0.7" top="0.75" bottom="0.75" header="0.3" footer="0.3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5916E-3949-45D2-8296-008C83E5676C}">
  <dimension ref="B2:H23"/>
  <sheetViews>
    <sheetView showGridLines="0" showRowColHeaders="0" zoomScale="113" zoomScaleNormal="104" workbookViewId="0">
      <selection activeCell="C7" sqref="C7:E7"/>
    </sheetView>
  </sheetViews>
  <sheetFormatPr defaultColWidth="8.5" defaultRowHeight="15.75" x14ac:dyDescent="0.5"/>
  <cols>
    <col min="1" max="1" width="8.5" style="2"/>
    <col min="2" max="2" width="21.3125" style="2" bestFit="1" customWidth="1"/>
    <col min="3" max="3" width="10.875" style="2" bestFit="1" customWidth="1"/>
    <col min="4" max="16384" width="8.5" style="2"/>
  </cols>
  <sheetData>
    <row r="2" spans="2:6" x14ac:dyDescent="0.5">
      <c r="B2" s="2" t="s">
        <v>23</v>
      </c>
      <c r="C2" s="114"/>
      <c r="D2" s="114"/>
      <c r="E2" s="114"/>
    </row>
    <row r="3" spans="2:6" ht="20.75" customHeight="1" x14ac:dyDescent="0.5">
      <c r="B3" s="2" t="s">
        <v>24</v>
      </c>
      <c r="C3" s="118" t="str">
        <f>IF(ISBLANK(C2),"ENTER LMP",(C2+280))</f>
        <v>ENTER LMP</v>
      </c>
      <c r="D3" s="118"/>
      <c r="E3" s="118"/>
    </row>
    <row r="4" spans="2:6" x14ac:dyDescent="0.5">
      <c r="B4" s="2" t="s">
        <v>30</v>
      </c>
      <c r="C4" s="117" t="str">
        <f ca="1">IF(ISBLANK(C2),"ENTER LMP DATE",ROUNDDOWN((TODAY()-C2)/7,0)&amp;" WEEKS "&amp;MOD((TODAY()-C2),7)&amp; " DAYS")</f>
        <v>ENTER LMP DATE</v>
      </c>
      <c r="D4" s="117"/>
      <c r="E4" s="117"/>
    </row>
    <row r="5" spans="2:6" ht="15.6" customHeight="1" x14ac:dyDescent="0.5"/>
    <row r="6" spans="2:6" x14ac:dyDescent="0.5">
      <c r="B6" s="2" t="s">
        <v>27</v>
      </c>
      <c r="C6" s="115" t="str">
        <f>IF(ISBLANK(C7),"ENTER REDD FROM USG",C7-280)</f>
        <v>ENTER REDD FROM USG</v>
      </c>
      <c r="D6" s="115"/>
      <c r="E6" s="115"/>
    </row>
    <row r="7" spans="2:6" x14ac:dyDescent="0.5">
      <c r="B7" s="2" t="s">
        <v>25</v>
      </c>
      <c r="C7" s="114"/>
      <c r="D7" s="114"/>
      <c r="E7" s="114"/>
    </row>
    <row r="8" spans="2:6" x14ac:dyDescent="0.5">
      <c r="B8" s="2" t="s">
        <v>31</v>
      </c>
      <c r="C8" s="117" t="str">
        <f ca="1">IF(ISBLANK(C7),"ENTER REDD FROM USG",ROUNDDOWN((TODAY()-C6)/7,0)&amp;" WEEKS "&amp;MOD((TODAY()-C6),7)&amp; " DAYS")</f>
        <v>ENTER REDD FROM USG</v>
      </c>
      <c r="D8" s="117"/>
      <c r="E8" s="117"/>
    </row>
    <row r="10" spans="2:6" ht="30.6" customHeight="1" x14ac:dyDescent="0.5">
      <c r="B10" s="2" t="s">
        <v>29</v>
      </c>
      <c r="D10" s="116" t="str">
        <f>IF((OR(ISBLANK(C7),ISBLANK(C2))),"ENTER LMP DATE &amp; REDD FROM USG",(ROUNDDOWN((C7-C3)/7,0)&amp;" WEEKS " &amp; MOD((C7-C3),7)&amp;" DAYS"))</f>
        <v>ENTER LMP DATE &amp; REDD FROM USG</v>
      </c>
      <c r="E10" s="116"/>
    </row>
    <row r="12" spans="2:6" ht="16.5" customHeight="1" x14ac:dyDescent="0.5">
      <c r="B12" s="2" t="s">
        <v>32</v>
      </c>
      <c r="C12" s="114"/>
      <c r="D12" s="114"/>
      <c r="E12" s="114"/>
    </row>
    <row r="13" spans="2:6" x14ac:dyDescent="0.5">
      <c r="B13" s="2" t="s">
        <v>26</v>
      </c>
      <c r="C13" s="117" t="str">
        <f>IF(ISBLANK(C12),"ENTER POG AT DATE OF",ROUNDDOWN((C12-C2)/7,0)&amp;" WEEKS "&amp;MOD((C12-C2),7)&amp; " DAYS")</f>
        <v>ENTER POG AT DATE OF</v>
      </c>
      <c r="D13" s="117"/>
      <c r="E13" s="117"/>
    </row>
    <row r="14" spans="2:6" x14ac:dyDescent="0.5">
      <c r="B14" s="2" t="s">
        <v>28</v>
      </c>
      <c r="C14" s="117" t="str">
        <f>IF(ISBLANK(C12),"ENTER POG AT DATE OF",ROUNDDOWN(((C12-C6)/7),0)&amp;" WEEKS "&amp;MOD(((C12)-C6),7)&amp; " DAYS")</f>
        <v>ENTER POG AT DATE OF</v>
      </c>
      <c r="D14" s="117"/>
      <c r="E14" s="117"/>
    </row>
    <row r="16" spans="2:6" x14ac:dyDescent="0.5">
      <c r="B16" s="2" t="s">
        <v>157</v>
      </c>
      <c r="C16" s="83"/>
      <c r="D16" s="82" t="s">
        <v>160</v>
      </c>
      <c r="E16" s="83"/>
      <c r="F16" s="82" t="s">
        <v>161</v>
      </c>
    </row>
    <row r="17" spans="2:8" x14ac:dyDescent="0.5">
      <c r="B17" s="2" t="s">
        <v>158</v>
      </c>
      <c r="C17" s="113" t="str">
        <f>IF(ISBLANK(C2),"ENTER LMP",(C2+(C16*7)+E16))</f>
        <v>ENTER LMP</v>
      </c>
      <c r="D17" s="113"/>
      <c r="E17" s="113"/>
    </row>
    <row r="18" spans="2:8" x14ac:dyDescent="0.5">
      <c r="B18" s="2" t="s">
        <v>159</v>
      </c>
      <c r="C18" s="113" t="str">
        <f>IF(ISBLANK(C7),"ENTER REDD FROM USG",(C7-(280-(C16*7)-E16)))</f>
        <v>ENTER REDD FROM USG</v>
      </c>
      <c r="D18" s="113"/>
      <c r="E18" s="113"/>
    </row>
    <row r="20" spans="2:8" x14ac:dyDescent="0.5">
      <c r="B20" s="119" t="s">
        <v>138</v>
      </c>
      <c r="C20" s="119"/>
    </row>
    <row r="22" spans="2:8" x14ac:dyDescent="0.5">
      <c r="B22" s="57" t="s">
        <v>76</v>
      </c>
    </row>
    <row r="23" spans="2:8" x14ac:dyDescent="0.5">
      <c r="B23" s="112" t="s">
        <v>132</v>
      </c>
      <c r="C23" s="112"/>
      <c r="D23" s="112"/>
      <c r="E23" s="112"/>
      <c r="F23" s="112"/>
      <c r="G23" s="112"/>
      <c r="H23" s="112"/>
    </row>
  </sheetData>
  <sheetProtection sheet="1" selectLockedCells="1"/>
  <mergeCells count="14">
    <mergeCell ref="B23:H23"/>
    <mergeCell ref="C18:E18"/>
    <mergeCell ref="C17:E17"/>
    <mergeCell ref="C2:E2"/>
    <mergeCell ref="C6:E6"/>
    <mergeCell ref="C7:E7"/>
    <mergeCell ref="D10:E10"/>
    <mergeCell ref="C12:E12"/>
    <mergeCell ref="C4:E4"/>
    <mergeCell ref="C14:E14"/>
    <mergeCell ref="C8:E8"/>
    <mergeCell ref="C13:E13"/>
    <mergeCell ref="C3:E3"/>
    <mergeCell ref="B20:C20"/>
  </mergeCells>
  <dataValidations count="2">
    <dataValidation type="whole" allowBlank="1" showInputMessage="1" showErrorMessage="1" sqref="C16" xr:uid="{70DF53C0-6970-4AD9-A8F0-BFECB389BD99}">
      <formula1>1</formula1>
      <formula2>42</formula2>
    </dataValidation>
    <dataValidation type="whole" allowBlank="1" showInputMessage="1" showErrorMessage="1" sqref="E16" xr:uid="{7B7B72DE-25BE-4330-89A1-294475B9C47F}">
      <formula1>0</formula1>
      <formula2>6</formula2>
    </dataValidation>
  </dataValidations>
  <hyperlinks>
    <hyperlink ref="B20" location="Summary!C5" display="BACK TO SUMMARY SHEET" xr:uid="{5A8D7F0C-6A2B-4C73-90A5-417DBBEADC5E}"/>
  </hyperlinks>
  <pageMargins left="0.7" right="0.7" top="0.75" bottom="0.75" header="0.3" footer="0.3"/>
  <pageSetup paperSize="9" orientation="portrait" horizontalDpi="4294967293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69BE4-51D9-413C-BF80-78745701E951}">
  <dimension ref="B1:J41"/>
  <sheetViews>
    <sheetView showGridLines="0" tabSelected="1" zoomScale="91" zoomScaleNormal="80" workbookViewId="0">
      <selection activeCell="B1" sqref="B1"/>
    </sheetView>
  </sheetViews>
  <sheetFormatPr defaultColWidth="8.625" defaultRowHeight="15.75" x14ac:dyDescent="0.5"/>
  <cols>
    <col min="1" max="1" width="8.625" style="72"/>
    <col min="2" max="2" width="24.8125" style="72" customWidth="1"/>
    <col min="3" max="4" width="8.625" style="72" customWidth="1"/>
    <col min="5" max="5" width="46.3125" style="73" bestFit="1" customWidth="1"/>
    <col min="6" max="6" width="9" style="73" hidden="1" customWidth="1"/>
    <col min="7" max="7" width="46.3125" style="73" bestFit="1" customWidth="1"/>
    <col min="8" max="8" width="8.625" style="73" hidden="1" customWidth="1"/>
    <col min="9" max="9" width="46.3125" style="73" bestFit="1" customWidth="1"/>
    <col min="10" max="10" width="8.625" style="72" hidden="1" customWidth="1"/>
    <col min="11" max="16384" width="8.625" style="72"/>
  </cols>
  <sheetData>
    <row r="1" spans="2:10" x14ac:dyDescent="0.5">
      <c r="B1" s="24"/>
    </row>
    <row r="2" spans="2:10" x14ac:dyDescent="0.5">
      <c r="B2" s="24" t="s">
        <v>75</v>
      </c>
      <c r="E2" s="26" t="s">
        <v>72</v>
      </c>
      <c r="G2" s="26" t="s">
        <v>73</v>
      </c>
      <c r="I2" s="25" t="s">
        <v>69</v>
      </c>
    </row>
    <row r="3" spans="2:10" x14ac:dyDescent="0.5">
      <c r="B3" s="24" t="s">
        <v>217</v>
      </c>
      <c r="E3" s="83"/>
      <c r="F3" s="83"/>
      <c r="G3" s="83"/>
      <c r="H3" s="83"/>
      <c r="I3" s="83"/>
    </row>
    <row r="4" spans="2:10" x14ac:dyDescent="0.5">
      <c r="B4" s="24" t="s">
        <v>50</v>
      </c>
    </row>
    <row r="6" spans="2:10" x14ac:dyDescent="0.5">
      <c r="B6" s="72" t="s">
        <v>51</v>
      </c>
      <c r="E6" s="27" t="s">
        <v>45</v>
      </c>
      <c r="F6" s="73">
        <f>IF(OR(ISBLANK(E6),E6="No"),0,4)</f>
        <v>0</v>
      </c>
      <c r="G6" s="27" t="s">
        <v>45</v>
      </c>
      <c r="H6" s="73">
        <f>IF(G6="Yes",4,0)</f>
        <v>0</v>
      </c>
      <c r="I6" s="27" t="s">
        <v>45</v>
      </c>
      <c r="J6" s="73">
        <f>IF(I6="Yes",4,0)</f>
        <v>0</v>
      </c>
    </row>
    <row r="7" spans="2:10" x14ac:dyDescent="0.5">
      <c r="B7" s="72" t="s">
        <v>52</v>
      </c>
      <c r="E7" s="27" t="s">
        <v>45</v>
      </c>
      <c r="F7" s="73">
        <f>IF(E7="Yes",3,0)</f>
        <v>0</v>
      </c>
      <c r="G7" s="27" t="s">
        <v>45</v>
      </c>
      <c r="H7" s="73">
        <f>IF(G7="Yes",3,0)</f>
        <v>0</v>
      </c>
      <c r="I7" s="27" t="s">
        <v>45</v>
      </c>
      <c r="J7" s="73">
        <f>IF(I7="Yes",3,0)</f>
        <v>0</v>
      </c>
    </row>
    <row r="8" spans="2:10" ht="126" x14ac:dyDescent="0.5">
      <c r="B8" s="74" t="s">
        <v>53</v>
      </c>
      <c r="E8" s="27" t="s">
        <v>45</v>
      </c>
      <c r="F8" s="73">
        <f>IF(E8="Yes",3,0)</f>
        <v>0</v>
      </c>
      <c r="G8" s="27" t="s">
        <v>45</v>
      </c>
      <c r="H8" s="73">
        <f>IF(G8="Yes",3,0)</f>
        <v>0</v>
      </c>
      <c r="I8" s="27" t="s">
        <v>45</v>
      </c>
      <c r="J8" s="73">
        <f>IF(I8="Yes",3,0)</f>
        <v>0</v>
      </c>
    </row>
    <row r="9" spans="2:10" x14ac:dyDescent="0.5">
      <c r="B9" s="72" t="s">
        <v>54</v>
      </c>
      <c r="E9" s="75"/>
      <c r="G9" s="75"/>
      <c r="I9" s="75"/>
      <c r="J9" s="73"/>
    </row>
    <row r="10" spans="2:10" ht="18" x14ac:dyDescent="0.5">
      <c r="B10" s="72" t="s">
        <v>67</v>
      </c>
      <c r="E10" s="27" t="s">
        <v>45</v>
      </c>
      <c r="F10" s="73">
        <f>IF(E10="Yes",2,0)</f>
        <v>0</v>
      </c>
      <c r="G10" s="27" t="s">
        <v>45</v>
      </c>
      <c r="H10" s="73">
        <f>IF(G10="Yes",1,0)</f>
        <v>0</v>
      </c>
      <c r="I10" s="27" t="s">
        <v>45</v>
      </c>
      <c r="J10" s="73">
        <f>IF(I10="Yes",1,0)</f>
        <v>0</v>
      </c>
    </row>
    <row r="11" spans="2:10" ht="18" x14ac:dyDescent="0.5">
      <c r="B11" s="72" t="s">
        <v>68</v>
      </c>
      <c r="E11" s="27" t="s">
        <v>45</v>
      </c>
      <c r="F11" s="73">
        <f>IF(E11="Yes",1,0)</f>
        <v>0</v>
      </c>
      <c r="G11" s="27" t="s">
        <v>45</v>
      </c>
      <c r="H11" s="73">
        <f>IF(G11="Yes",1,0)</f>
        <v>0</v>
      </c>
      <c r="I11" s="27" t="s">
        <v>45</v>
      </c>
      <c r="J11" s="73">
        <f t="shared" ref="J11:J14" si="0">IF(I11="Yes",1,0)</f>
        <v>0</v>
      </c>
    </row>
    <row r="12" spans="2:10" x14ac:dyDescent="0.5">
      <c r="B12" s="72" t="s">
        <v>55</v>
      </c>
      <c r="E12" s="27" t="s">
        <v>45</v>
      </c>
      <c r="F12" s="73">
        <f t="shared" ref="F12:F14" si="1">IF(E12="Yes",1,0)</f>
        <v>0</v>
      </c>
      <c r="G12" s="27" t="s">
        <v>45</v>
      </c>
      <c r="H12" s="73">
        <f t="shared" ref="H12:H14" si="2">IF(G12="Yes",1,0)</f>
        <v>0</v>
      </c>
      <c r="I12" s="27" t="s">
        <v>45</v>
      </c>
      <c r="J12" s="73">
        <f t="shared" si="0"/>
        <v>0</v>
      </c>
    </row>
    <row r="13" spans="2:10" ht="31.5" x14ac:dyDescent="0.5">
      <c r="B13" s="74" t="s">
        <v>56</v>
      </c>
      <c r="E13" s="27" t="s">
        <v>45</v>
      </c>
      <c r="F13" s="73">
        <f t="shared" si="1"/>
        <v>0</v>
      </c>
      <c r="G13" s="27" t="s">
        <v>45</v>
      </c>
      <c r="H13" s="73">
        <f t="shared" si="2"/>
        <v>0</v>
      </c>
      <c r="I13" s="27" t="s">
        <v>45</v>
      </c>
      <c r="J13" s="73">
        <f t="shared" si="0"/>
        <v>0</v>
      </c>
    </row>
    <row r="14" spans="2:10" x14ac:dyDescent="0.5">
      <c r="B14" s="72" t="s">
        <v>218</v>
      </c>
      <c r="E14" s="27" t="s">
        <v>45</v>
      </c>
      <c r="F14" s="73">
        <f t="shared" si="1"/>
        <v>0</v>
      </c>
      <c r="G14" s="27" t="s">
        <v>45</v>
      </c>
      <c r="H14" s="73">
        <f t="shared" si="2"/>
        <v>0</v>
      </c>
      <c r="I14" s="27" t="s">
        <v>45</v>
      </c>
      <c r="J14" s="73">
        <f t="shared" si="0"/>
        <v>0</v>
      </c>
    </row>
    <row r="16" spans="2:10" x14ac:dyDescent="0.5">
      <c r="B16" s="24" t="s">
        <v>57</v>
      </c>
    </row>
    <row r="18" spans="2:10" ht="31.5" x14ac:dyDescent="0.5">
      <c r="B18" s="74" t="s">
        <v>58</v>
      </c>
      <c r="E18" s="76"/>
      <c r="G18" s="76"/>
      <c r="I18" s="27" t="s">
        <v>45</v>
      </c>
      <c r="J18" s="73">
        <f>IF(I18="Yes",2,0)</f>
        <v>0</v>
      </c>
    </row>
    <row r="19" spans="2:10" x14ac:dyDescent="0.5">
      <c r="B19" s="72" t="s">
        <v>59</v>
      </c>
      <c r="E19" s="76"/>
      <c r="G19" s="108" t="s">
        <v>45</v>
      </c>
      <c r="H19" s="73">
        <f>IF(G19="Yes",1,0)</f>
        <v>0</v>
      </c>
      <c r="I19" s="27" t="s">
        <v>45</v>
      </c>
      <c r="J19" s="73">
        <f>IF(I19="Yes",1,0)</f>
        <v>0</v>
      </c>
    </row>
    <row r="20" spans="2:10" x14ac:dyDescent="0.5">
      <c r="B20" s="72" t="s">
        <v>60</v>
      </c>
      <c r="E20" s="27" t="s">
        <v>45</v>
      </c>
      <c r="F20" s="73">
        <f>IF(E20="Yes",1,0)</f>
        <v>0</v>
      </c>
      <c r="G20" s="27" t="s">
        <v>45</v>
      </c>
      <c r="H20" s="73">
        <f>IF(G20="Yes",1,0)</f>
        <v>0</v>
      </c>
      <c r="I20" s="76"/>
      <c r="J20" s="73"/>
    </row>
    <row r="21" spans="2:10" ht="31.5" x14ac:dyDescent="0.5">
      <c r="B21" s="74" t="s">
        <v>224</v>
      </c>
      <c r="E21" s="76"/>
      <c r="G21" s="76"/>
      <c r="I21" s="27" t="s">
        <v>45</v>
      </c>
      <c r="J21" s="73">
        <f t="shared" ref="J21:J24" si="3">IF(I21="Yes",1,0)</f>
        <v>0</v>
      </c>
    </row>
    <row r="22" spans="2:10" x14ac:dyDescent="0.5">
      <c r="B22" s="72" t="s">
        <v>61</v>
      </c>
      <c r="E22" s="76"/>
      <c r="G22" s="76"/>
      <c r="I22" s="27" t="s">
        <v>45</v>
      </c>
      <c r="J22" s="73">
        <f t="shared" si="3"/>
        <v>0</v>
      </c>
    </row>
    <row r="23" spans="2:10" ht="31.5" x14ac:dyDescent="0.5">
      <c r="B23" s="74" t="s">
        <v>62</v>
      </c>
      <c r="E23" s="76"/>
      <c r="G23" s="27" t="s">
        <v>45</v>
      </c>
      <c r="H23" s="73">
        <f>IF(G23="Yes",1,0)</f>
        <v>0</v>
      </c>
      <c r="I23" s="27" t="s">
        <v>45</v>
      </c>
      <c r="J23" s="73">
        <f t="shared" si="3"/>
        <v>0</v>
      </c>
    </row>
    <row r="24" spans="2:10" x14ac:dyDescent="0.5">
      <c r="B24" s="72" t="s">
        <v>63</v>
      </c>
      <c r="E24" s="76"/>
      <c r="G24" s="76"/>
      <c r="I24" s="27" t="s">
        <v>45</v>
      </c>
      <c r="J24" s="73">
        <f t="shared" si="3"/>
        <v>0</v>
      </c>
    </row>
    <row r="26" spans="2:10" x14ac:dyDescent="0.5">
      <c r="B26" s="24" t="s">
        <v>64</v>
      </c>
    </row>
    <row r="28" spans="2:10" ht="78.75" x14ac:dyDescent="0.5">
      <c r="B28" s="74" t="s">
        <v>219</v>
      </c>
      <c r="E28" s="76"/>
      <c r="G28" s="76"/>
      <c r="I28" s="27" t="s">
        <v>45</v>
      </c>
      <c r="J28" s="73">
        <f>IF(I28="Yes",4,0)</f>
        <v>0</v>
      </c>
    </row>
    <row r="29" spans="2:10" x14ac:dyDescent="0.5">
      <c r="B29" s="72" t="s">
        <v>65</v>
      </c>
      <c r="E29" s="27" t="s">
        <v>45</v>
      </c>
      <c r="F29" s="73">
        <f t="shared" ref="F29:F30" si="4">IF(E29="Yes",4,0)</f>
        <v>0</v>
      </c>
      <c r="G29" s="27" t="s">
        <v>45</v>
      </c>
      <c r="H29" s="73">
        <f t="shared" ref="H29:H30" si="5">IF(G29="Yes",4,0)</f>
        <v>0</v>
      </c>
      <c r="I29" s="76"/>
      <c r="J29" s="73"/>
    </row>
    <row r="30" spans="2:10" ht="31.5" x14ac:dyDescent="0.5">
      <c r="B30" s="74" t="s">
        <v>66</v>
      </c>
      <c r="E30" s="27" t="s">
        <v>45</v>
      </c>
      <c r="F30" s="73">
        <f t="shared" si="4"/>
        <v>0</v>
      </c>
      <c r="G30" s="27" t="s">
        <v>45</v>
      </c>
      <c r="H30" s="73">
        <f t="shared" si="5"/>
        <v>0</v>
      </c>
      <c r="I30" s="76"/>
      <c r="J30" s="73"/>
    </row>
    <row r="31" spans="2:10" ht="47.25" x14ac:dyDescent="0.5">
      <c r="B31" s="74" t="s">
        <v>220</v>
      </c>
      <c r="E31" s="27" t="s">
        <v>45</v>
      </c>
      <c r="F31" s="73">
        <f t="shared" ref="F31:F33" si="6">IF(E31="Yes",1,0)</f>
        <v>0</v>
      </c>
      <c r="G31" s="27" t="s">
        <v>45</v>
      </c>
      <c r="H31" s="73">
        <f>IF(G31="Yes",1,0)</f>
        <v>0</v>
      </c>
      <c r="I31" s="27" t="s">
        <v>45</v>
      </c>
      <c r="J31" s="73">
        <f t="shared" ref="J31:J34" si="7">IF(I31="Yes",1,0)</f>
        <v>0</v>
      </c>
    </row>
    <row r="32" spans="2:10" ht="31.5" x14ac:dyDescent="0.5">
      <c r="B32" s="74" t="s">
        <v>70</v>
      </c>
      <c r="E32" s="27" t="s">
        <v>45</v>
      </c>
      <c r="F32" s="73">
        <f t="shared" si="6"/>
        <v>0</v>
      </c>
      <c r="G32" s="27" t="s">
        <v>45</v>
      </c>
      <c r="H32" s="73">
        <f t="shared" ref="H32:H34" si="8">IF(G32="Yes",1,0)</f>
        <v>0</v>
      </c>
      <c r="I32" s="27" t="s">
        <v>45</v>
      </c>
      <c r="J32" s="73">
        <f t="shared" si="7"/>
        <v>0</v>
      </c>
    </row>
    <row r="33" spans="2:10" ht="31.5" x14ac:dyDescent="0.5">
      <c r="B33" s="74" t="s">
        <v>71</v>
      </c>
      <c r="E33" s="27" t="s">
        <v>45</v>
      </c>
      <c r="F33" s="73">
        <f t="shared" si="6"/>
        <v>0</v>
      </c>
      <c r="G33" s="27" t="s">
        <v>45</v>
      </c>
      <c r="H33" s="73">
        <f t="shared" si="8"/>
        <v>0</v>
      </c>
      <c r="I33" s="27" t="s">
        <v>45</v>
      </c>
      <c r="J33" s="73">
        <f t="shared" si="7"/>
        <v>0</v>
      </c>
    </row>
    <row r="34" spans="2:10" x14ac:dyDescent="0.5">
      <c r="B34" s="72" t="s">
        <v>225</v>
      </c>
      <c r="E34" s="27" t="s">
        <v>45</v>
      </c>
      <c r="F34" s="73">
        <f t="shared" ref="F34" si="9">IF(E34="Yes",1,0)</f>
        <v>0</v>
      </c>
      <c r="G34" s="27" t="s">
        <v>45</v>
      </c>
      <c r="H34" s="73">
        <f t="shared" si="8"/>
        <v>0</v>
      </c>
      <c r="I34" s="27" t="s">
        <v>45</v>
      </c>
      <c r="J34" s="73">
        <f t="shared" si="7"/>
        <v>0</v>
      </c>
    </row>
    <row r="35" spans="2:10" ht="16.149999999999999" thickBot="1" x14ac:dyDescent="0.55000000000000004">
      <c r="B35" s="77" t="s">
        <v>74</v>
      </c>
      <c r="C35" s="77"/>
      <c r="D35" s="77"/>
      <c r="E35" s="78">
        <f>SUM(F6:F34)</f>
        <v>0</v>
      </c>
      <c r="F35" s="79"/>
      <c r="G35" s="78">
        <f>SUM(H6:H34)</f>
        <v>0</v>
      </c>
      <c r="H35" s="79"/>
      <c r="I35" s="78">
        <f>SUM(J6:J34)</f>
        <v>0</v>
      </c>
    </row>
    <row r="36" spans="2:10" ht="16.149999999999999" thickTop="1" x14ac:dyDescent="0.5"/>
    <row r="37" spans="2:10" x14ac:dyDescent="0.5">
      <c r="B37" s="24" t="s">
        <v>47</v>
      </c>
      <c r="E37" s="74" t="str">
        <f>IF(E35&lt;3,"Encourage mobilisation and adequate hydration",(IF(E35=3,"o Refer to the MO immediately if possible or within 72 hours to confirm the risks.
o Refer FMS for counselling &lt;= 26 weeks.
o Refer O&amp;G Specialist at 28 weeks for VTE prophylaxis.",(IF(E35&gt;3,"Start prophylaxis with LMWH")))))</f>
        <v>Encourage mobilisation and adequate hydration</v>
      </c>
      <c r="F37" s="80"/>
      <c r="G37" s="74" t="str">
        <f>IF(G35&lt;3,"Encourage mobilisation and adequate hydration",(IF(G35=3,"o Refer to the MO immediately if possible or within 72 hours to confirm the risks.
o Refer FMS for counselling ~ 26 weeks.
o Refer O&amp;G Specialist at 28 weeks for VTE prophylaxis.",(IF(G35&gt;3,"Start prophylaxis with LMWH")))))</f>
        <v>Encourage mobilisation and adequate hydration</v>
      </c>
      <c r="H37" s="80"/>
      <c r="I37" s="74" t="str">
        <f>IF(I35&lt;3,"Encourage mobilisation and adequate hydration",(IF(I35=3,"o Refer to the MO immediately if possible or within 72 hours to confirm the risks.
o Refer FMS for counselling ~ 26 weeks.
o Refer O&amp;G Specialist at 28 weeks for VTE prophylaxis.",(IF(I35&gt;3,"Start prophylaxis with LMWH")))))</f>
        <v>Encourage mobilisation and adequate hydration</v>
      </c>
    </row>
    <row r="39" spans="2:10" x14ac:dyDescent="0.5">
      <c r="B39" s="81" t="s">
        <v>138</v>
      </c>
    </row>
    <row r="40" spans="2:10" ht="37.25" customHeight="1" x14ac:dyDescent="0.5">
      <c r="B40" s="24" t="s">
        <v>76</v>
      </c>
    </row>
    <row r="41" spans="2:10" ht="41.1" customHeight="1" x14ac:dyDescent="0.5">
      <c r="B41" s="111" t="s">
        <v>221</v>
      </c>
      <c r="C41" s="111"/>
      <c r="D41" s="111"/>
      <c r="E41" s="111"/>
      <c r="F41" s="111"/>
      <c r="G41" s="111"/>
      <c r="H41" s="111"/>
      <c r="I41" s="111"/>
    </row>
  </sheetData>
  <sheetProtection sheet="1"/>
  <mergeCells count="1">
    <mergeCell ref="B41:I41"/>
  </mergeCells>
  <conditionalFormatting sqref="E37 G37 I37">
    <cfRule type="containsText" dxfId="20" priority="1" operator="containsText" text="Start prophylaxis with LMWH">
      <formula>NOT(ISERROR(SEARCH("Start prophylaxis with LMWH",E37)))</formula>
    </cfRule>
    <cfRule type="containsText" dxfId="19" priority="2" operator="containsText" text="Consider antenatal prophylaxis with LMWH">
      <formula>NOT(ISERROR(SEARCH("Consider antenatal prophylaxis with LMWH",E37)))</formula>
    </cfRule>
  </conditionalFormatting>
  <dataValidations count="1">
    <dataValidation type="list" allowBlank="1" showInputMessage="1" showErrorMessage="1" sqref="G18:G24 E28:E34 E18:E24 I28:I34 I10:I14 I18:I24 G10:G14 I6:I8 G6:G8 E6:E8 E10:E14 G28:G34" xr:uid="{4574669F-2B98-4041-A080-94F31A937B61}">
      <formula1>"Yes, No"</formula1>
    </dataValidation>
  </dataValidations>
  <hyperlinks>
    <hyperlink ref="B39" location="Summary!C8" display="BACK TO SUMMARY SHEET" xr:uid="{9D56CC83-30FB-45F0-A0A5-B0D4D97A9198}"/>
  </hyperlinks>
  <pageMargins left="0.7" right="0.7" top="0.75" bottom="0.75" header="0.3" footer="0.3"/>
  <pageSetup scale="65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81252-E51C-4A1C-A0A6-18A87493445B}">
  <dimension ref="B2:G12"/>
  <sheetViews>
    <sheetView topLeftCell="B1" zoomScale="122" zoomScaleNormal="122" workbookViewId="0">
      <selection activeCell="D2" sqref="D1:E1048576"/>
    </sheetView>
  </sheetViews>
  <sheetFormatPr defaultColWidth="8.625" defaultRowHeight="15.75" x14ac:dyDescent="0.5"/>
  <cols>
    <col min="1" max="1" width="8.625" style="16"/>
    <col min="2" max="2" width="32.1875" style="16" customWidth="1"/>
    <col min="3" max="3" width="9.1875" style="17" bestFit="1" customWidth="1"/>
    <col min="4" max="4" width="6.1875" style="16" hidden="1" customWidth="1"/>
    <col min="5" max="5" width="5.125" style="16" hidden="1" customWidth="1"/>
    <col min="6" max="6" width="2.6875" style="16" customWidth="1"/>
    <col min="7" max="7" width="70.3125" style="16" customWidth="1"/>
    <col min="8" max="8" width="8.625" style="16"/>
    <col min="9" max="9" width="6.1875" style="16" bestFit="1" customWidth="1"/>
    <col min="10" max="16384" width="8.625" style="16"/>
  </cols>
  <sheetData>
    <row r="2" spans="2:7" ht="18" x14ac:dyDescent="0.5">
      <c r="B2" s="22" t="s">
        <v>46</v>
      </c>
    </row>
    <row r="3" spans="2:7" x14ac:dyDescent="0.5">
      <c r="B3" s="18"/>
    </row>
    <row r="4" spans="2:7" ht="18" x14ac:dyDescent="0.5">
      <c r="B4" s="18" t="s">
        <v>40</v>
      </c>
      <c r="C4" s="21" t="s">
        <v>226</v>
      </c>
      <c r="D4" s="109" t="s">
        <v>227</v>
      </c>
      <c r="E4" s="110" t="s">
        <v>228</v>
      </c>
      <c r="G4" s="19" t="s">
        <v>47</v>
      </c>
    </row>
    <row r="5" spans="2:7" x14ac:dyDescent="0.5">
      <c r="B5" s="18" t="s">
        <v>41</v>
      </c>
      <c r="C5" s="21" t="s">
        <v>45</v>
      </c>
      <c r="D5" s="109"/>
      <c r="E5" s="109"/>
      <c r="G5" s="20" t="str" cm="1">
        <f t="array" ref="G5">IF(OR(ISBLANK(C4:C10)),"Enter risk factors to get plan.",(IF(OR(C4=D4,C5:C10=D6),"MOGTT at booking or ASAP.",(IF(OR(C4=D4,C5:C10=D6),"MOGTT at booking or ASAP.",(IF(AND(C4=E4,C5:C10=E6),"MOGTT at POG 24-28 weeks.","ANC as routine.")))))))</f>
        <v>MOGTT at POG 24-28 weeks.</v>
      </c>
    </row>
    <row r="6" spans="2:7" x14ac:dyDescent="0.5">
      <c r="B6" s="18" t="s">
        <v>42</v>
      </c>
      <c r="C6" s="21" t="s">
        <v>45</v>
      </c>
      <c r="D6" s="109" t="s">
        <v>44</v>
      </c>
      <c r="E6" s="109" t="s">
        <v>45</v>
      </c>
    </row>
    <row r="7" spans="2:7" ht="31.5" x14ac:dyDescent="0.5">
      <c r="B7" s="23" t="s">
        <v>229</v>
      </c>
      <c r="C7" s="21" t="s">
        <v>45</v>
      </c>
      <c r="D7" s="109"/>
      <c r="E7" s="109"/>
      <c r="G7" s="16" t="s">
        <v>48</v>
      </c>
    </row>
    <row r="8" spans="2:7" ht="47.25" x14ac:dyDescent="0.5">
      <c r="B8" s="23" t="s">
        <v>222</v>
      </c>
      <c r="C8" s="21" t="s">
        <v>45</v>
      </c>
      <c r="D8" s="109"/>
      <c r="E8" s="109"/>
      <c r="G8" s="7" t="s">
        <v>223</v>
      </c>
    </row>
    <row r="9" spans="2:7" x14ac:dyDescent="0.5">
      <c r="B9" s="18" t="s">
        <v>49</v>
      </c>
      <c r="C9" s="21" t="s">
        <v>45</v>
      </c>
      <c r="D9" s="109"/>
      <c r="E9" s="109"/>
    </row>
    <row r="10" spans="2:7" ht="47.25" x14ac:dyDescent="0.5">
      <c r="B10" s="23" t="s">
        <v>43</v>
      </c>
      <c r="C10" s="21" t="s">
        <v>45</v>
      </c>
      <c r="D10" s="109"/>
      <c r="E10" s="109"/>
      <c r="G10" s="70" t="s">
        <v>138</v>
      </c>
    </row>
    <row r="11" spans="2:7" ht="60" customHeight="1" x14ac:dyDescent="0.5"/>
    <row r="12" spans="2:7" ht="17.75" customHeight="1" x14ac:dyDescent="0.5"/>
  </sheetData>
  <sheetProtection sheet="1" objects="1" scenarios="1"/>
  <conditionalFormatting sqref="C4">
    <cfRule type="containsText" dxfId="18" priority="3" operator="containsText" text="&gt;27 kg/m2">
      <formula>NOT(ISERROR(SEARCH("&gt;27 kg/m2",C4)))</formula>
    </cfRule>
  </conditionalFormatting>
  <conditionalFormatting sqref="C5:C10">
    <cfRule type="containsText" dxfId="17" priority="2" operator="containsText" text="Yes">
      <formula>NOT(ISERROR(SEARCH("Yes",C5)))</formula>
    </cfRule>
  </conditionalFormatting>
  <conditionalFormatting sqref="G5">
    <cfRule type="containsText" dxfId="16" priority="1" operator="containsText" text="MOGTT at booking or ASAP">
      <formula>NOT(ISERROR(SEARCH("MOGTT at booking or ASAP",G5)))</formula>
    </cfRule>
  </conditionalFormatting>
  <dataValidations count="2">
    <dataValidation type="list" allowBlank="1" showInputMessage="1" showErrorMessage="1" sqref="C4" xr:uid="{A2966D91-5EE7-4475-9C72-DF6CB5A94481}">
      <formula1>$D$4:$E$4</formula1>
    </dataValidation>
    <dataValidation type="list" allowBlank="1" showInputMessage="1" showErrorMessage="1" sqref="C5:C10" xr:uid="{2CD7809C-99F3-45B4-A673-3B30BD25FAD2}">
      <formula1>$D$6:$E$6</formula1>
    </dataValidation>
  </dataValidations>
  <hyperlinks>
    <hyperlink ref="G10" location="Summary!C12" display="BACK TO SUMMARY SHEET" xr:uid="{A286C416-2027-400A-A2E4-30B85A2039CC}"/>
  </hyperlinks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E5B88-010D-42B9-869A-60B42822ECB9}">
  <dimension ref="B2:F19"/>
  <sheetViews>
    <sheetView zoomScale="130" zoomScaleNormal="95" workbookViewId="0">
      <selection activeCell="B11" sqref="B11"/>
    </sheetView>
  </sheetViews>
  <sheetFormatPr defaultColWidth="8.625" defaultRowHeight="15.75" x14ac:dyDescent="0.5"/>
  <cols>
    <col min="1" max="1" width="8.625" style="28"/>
    <col min="2" max="2" width="38.375" style="28" customWidth="1"/>
    <col min="3" max="3" width="8.625" style="28"/>
    <col min="4" max="4" width="0" style="28" hidden="1" customWidth="1"/>
    <col min="5" max="16384" width="8.625" style="28"/>
  </cols>
  <sheetData>
    <row r="2" spans="2:4" x14ac:dyDescent="0.5">
      <c r="B2" s="29" t="s">
        <v>77</v>
      </c>
    </row>
    <row r="4" spans="2:4" x14ac:dyDescent="0.5">
      <c r="B4" s="28" t="s">
        <v>78</v>
      </c>
      <c r="C4" s="27" t="s">
        <v>45</v>
      </c>
      <c r="D4" s="28">
        <f>IF(ISBLANK(C4),0,(IF(C4="Yes",1,0)))</f>
        <v>0</v>
      </c>
    </row>
    <row r="5" spans="2:4" x14ac:dyDescent="0.5">
      <c r="B5" s="28" t="s">
        <v>79</v>
      </c>
      <c r="C5" s="27" t="s">
        <v>45</v>
      </c>
      <c r="D5" s="28">
        <f t="shared" ref="D5:D12" si="0">IF(ISBLANK(C5),0,(IF(C5="Yes",1,0)))</f>
        <v>0</v>
      </c>
    </row>
    <row r="6" spans="2:4" x14ac:dyDescent="0.5">
      <c r="B6" s="28" t="s">
        <v>80</v>
      </c>
      <c r="C6" s="27" t="s">
        <v>45</v>
      </c>
      <c r="D6" s="28">
        <f t="shared" si="0"/>
        <v>0</v>
      </c>
    </row>
    <row r="7" spans="2:4" x14ac:dyDescent="0.5">
      <c r="B7" s="28" t="s">
        <v>214</v>
      </c>
      <c r="C7" s="27" t="s">
        <v>45</v>
      </c>
      <c r="D7" s="28">
        <f t="shared" si="0"/>
        <v>0</v>
      </c>
    </row>
    <row r="8" spans="2:4" x14ac:dyDescent="0.5">
      <c r="B8" s="28" t="s">
        <v>215</v>
      </c>
      <c r="C8" s="27" t="s">
        <v>45</v>
      </c>
      <c r="D8" s="28">
        <f t="shared" si="0"/>
        <v>0</v>
      </c>
    </row>
    <row r="9" spans="2:4" x14ac:dyDescent="0.5">
      <c r="B9" s="28" t="s">
        <v>213</v>
      </c>
      <c r="C9" s="27" t="s">
        <v>45</v>
      </c>
      <c r="D9" s="28">
        <f t="shared" si="0"/>
        <v>0</v>
      </c>
    </row>
    <row r="10" spans="2:4" ht="31.5" x14ac:dyDescent="0.5">
      <c r="B10" s="107" t="s">
        <v>216</v>
      </c>
      <c r="C10" s="27" t="s">
        <v>45</v>
      </c>
      <c r="D10" s="28">
        <f t="shared" si="0"/>
        <v>0</v>
      </c>
    </row>
    <row r="11" spans="2:4" x14ac:dyDescent="0.5">
      <c r="B11" s="28" t="s">
        <v>81</v>
      </c>
      <c r="C11" s="27" t="s">
        <v>45</v>
      </c>
      <c r="D11" s="28">
        <f t="shared" si="0"/>
        <v>0</v>
      </c>
    </row>
    <row r="12" spans="2:4" x14ac:dyDescent="0.5">
      <c r="B12" s="28" t="s">
        <v>82</v>
      </c>
      <c r="C12" s="27" t="s">
        <v>45</v>
      </c>
      <c r="D12" s="28">
        <f t="shared" si="0"/>
        <v>0</v>
      </c>
    </row>
    <row r="13" spans="2:4" x14ac:dyDescent="0.5">
      <c r="D13" s="28">
        <f>SUM(D4:D12)</f>
        <v>0</v>
      </c>
    </row>
    <row r="14" spans="2:4" x14ac:dyDescent="0.5">
      <c r="B14" s="29" t="s">
        <v>47</v>
      </c>
    </row>
    <row r="15" spans="2:4" x14ac:dyDescent="0.5">
      <c r="B15" s="120" t="str">
        <f>IF(D13&gt;0,"To investigate for active TB infection.","To screen accordingly during each ANC visit.")</f>
        <v>To screen accordingly during each ANC visit.</v>
      </c>
      <c r="C15" s="120"/>
    </row>
    <row r="17" spans="2:6" x14ac:dyDescent="0.5">
      <c r="B17" s="60" t="s">
        <v>138</v>
      </c>
    </row>
    <row r="18" spans="2:6" ht="18.600000000000001" customHeight="1" x14ac:dyDescent="0.5">
      <c r="B18" s="29" t="s">
        <v>76</v>
      </c>
    </row>
    <row r="19" spans="2:6" ht="108.6" customHeight="1" x14ac:dyDescent="0.5">
      <c r="B19" s="121" t="s">
        <v>83</v>
      </c>
      <c r="C19" s="121"/>
      <c r="D19" s="31"/>
      <c r="E19" s="31"/>
      <c r="F19" s="31"/>
    </row>
  </sheetData>
  <sheetProtection selectLockedCells="1"/>
  <mergeCells count="2">
    <mergeCell ref="B15:C15"/>
    <mergeCell ref="B19:C19"/>
  </mergeCells>
  <conditionalFormatting sqref="B15:C15">
    <cfRule type="containsText" dxfId="15" priority="1" operator="containsText" text="To investigate for active TB infection.">
      <formula>NOT(ISERROR(SEARCH("To investigate for active TB infection.",B15)))</formula>
    </cfRule>
  </conditionalFormatting>
  <dataValidations count="1">
    <dataValidation type="list" allowBlank="1" showInputMessage="1" showErrorMessage="1" sqref="C4:C12" xr:uid="{DDBCC195-7C66-4980-A054-47C609EA3CE5}">
      <formula1>"Yes, No"</formula1>
    </dataValidation>
  </dataValidations>
  <hyperlinks>
    <hyperlink ref="B17" location="Summary!C14" display="BACK TO SUMMARY SHEET" xr:uid="{C2DDB933-AEB4-4694-8662-8B36E1D312DA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F0AEF-E431-4E22-9781-C73BBF91B781}">
  <dimension ref="B2:G31"/>
  <sheetViews>
    <sheetView showGridLines="0" zoomScale="103" zoomScaleNormal="70" workbookViewId="0">
      <selection activeCell="C13" sqref="C13"/>
    </sheetView>
  </sheetViews>
  <sheetFormatPr defaultColWidth="8.625" defaultRowHeight="15.75" x14ac:dyDescent="0.5"/>
  <cols>
    <col min="1" max="1" width="8.625" style="46"/>
    <col min="2" max="2" width="85.375" style="46" bestFit="1" customWidth="1"/>
    <col min="3" max="3" width="5.625" style="46" bestFit="1" customWidth="1"/>
    <col min="4" max="4" width="15.5" style="46" hidden="1" customWidth="1"/>
    <col min="5" max="5" width="10.375" style="46" bestFit="1" customWidth="1"/>
    <col min="6" max="6" width="10.125" style="46" bestFit="1" customWidth="1"/>
    <col min="7" max="7" width="8.625" style="46"/>
    <col min="8" max="8" width="85.375" style="46" bestFit="1" customWidth="1"/>
    <col min="9" max="9" width="21.3125" style="46" customWidth="1"/>
    <col min="10" max="10" width="0" style="46" hidden="1" customWidth="1"/>
    <col min="11" max="15" width="8.625" style="46"/>
    <col min="16" max="16" width="14.6875" style="46" customWidth="1"/>
    <col min="17" max="17" width="20.6875" style="46" bestFit="1" customWidth="1"/>
    <col min="18" max="18" width="5.3125" style="46" bestFit="1" customWidth="1"/>
    <col min="19" max="16384" width="8.625" style="46"/>
  </cols>
  <sheetData>
    <row r="2" spans="2:7" x14ac:dyDescent="0.5">
      <c r="B2" s="51" t="s">
        <v>110</v>
      </c>
    </row>
    <row r="3" spans="2:7" ht="15.5" customHeight="1" x14ac:dyDescent="0.5">
      <c r="B3" s="48" t="s">
        <v>116</v>
      </c>
      <c r="C3" s="52" t="s">
        <v>111</v>
      </c>
      <c r="D3" s="52" t="s">
        <v>112</v>
      </c>
      <c r="E3" s="91" t="s">
        <v>113</v>
      </c>
      <c r="F3" s="91" t="s">
        <v>114</v>
      </c>
      <c r="G3" s="47"/>
    </row>
    <row r="4" spans="2:7" x14ac:dyDescent="0.5">
      <c r="B4" s="49" t="s">
        <v>117</v>
      </c>
      <c r="C4" s="27"/>
      <c r="D4" s="50" t="str">
        <f>IF(C4=C3,0,(IF(C4=D3,1,(IF(C4=E3,2,IF(C4=F3,3,"Choose response."))))))</f>
        <v>Choose response.</v>
      </c>
    </row>
    <row r="5" spans="2:7" x14ac:dyDescent="0.5">
      <c r="B5" s="49" t="s">
        <v>118</v>
      </c>
      <c r="C5" s="27"/>
      <c r="D5" s="50" t="str">
        <f>IF(C5=C3,0,(IF(C5=D3,1,(IF(C5=E3,2,IF(C5=F3,3,"Choose response."))))))</f>
        <v>Choose response.</v>
      </c>
    </row>
    <row r="6" spans="2:7" x14ac:dyDescent="0.5">
      <c r="B6" s="51" t="s">
        <v>115</v>
      </c>
      <c r="C6" s="50">
        <f>SUM(D4:D5)</f>
        <v>0</v>
      </c>
    </row>
    <row r="8" spans="2:7" x14ac:dyDescent="0.5">
      <c r="B8" s="51" t="s">
        <v>47</v>
      </c>
    </row>
    <row r="9" spans="2:7" x14ac:dyDescent="0.5">
      <c r="B9" s="46" t="str">
        <f>IF(C6&gt;2, "Proceed with PHQ-9","Screen at other visits accordingly.")</f>
        <v>Screen at other visits accordingly.</v>
      </c>
    </row>
    <row r="11" spans="2:7" x14ac:dyDescent="0.5">
      <c r="B11" s="51" t="s">
        <v>163</v>
      </c>
    </row>
    <row r="12" spans="2:7" x14ac:dyDescent="0.5">
      <c r="B12" s="46" t="s">
        <v>165</v>
      </c>
      <c r="C12" s="86"/>
    </row>
    <row r="13" spans="2:7" x14ac:dyDescent="0.5">
      <c r="B13" s="46" t="s">
        <v>164</v>
      </c>
      <c r="C13" s="86"/>
    </row>
    <row r="15" spans="2:7" x14ac:dyDescent="0.5">
      <c r="B15" s="51" t="s">
        <v>47</v>
      </c>
    </row>
    <row r="16" spans="2:7" x14ac:dyDescent="0.5">
      <c r="B16" s="46" t="str">
        <f>IF(OR(C12="Yes",C13="Yes"),"Proceed with PHQ-9","Screen at other visits accordingly.")</f>
        <v>Screen at other visits accordingly.</v>
      </c>
    </row>
    <row r="18" spans="2:4" x14ac:dyDescent="0.5">
      <c r="B18" s="51" t="s">
        <v>119</v>
      </c>
    </row>
    <row r="19" spans="2:4" x14ac:dyDescent="0.5">
      <c r="B19" s="48" t="s">
        <v>116</v>
      </c>
    </row>
    <row r="20" spans="2:4" x14ac:dyDescent="0.5">
      <c r="B20" s="49" t="s">
        <v>120</v>
      </c>
      <c r="C20" s="27"/>
      <c r="D20" s="50" t="str">
        <f>IF(C20=C3,0,(IF(C20=D3,1,(IF(C20=E3,2,IF(C20=F3,3,"Choose response."))))))</f>
        <v>Choose response.</v>
      </c>
    </row>
    <row r="21" spans="2:4" ht="15.6" customHeight="1" x14ac:dyDescent="0.5">
      <c r="B21" s="49" t="s">
        <v>121</v>
      </c>
      <c r="C21" s="27"/>
      <c r="D21" s="50" t="str">
        <f>IF(C21=C3,0,(IF(C21=D3,1,(IF(C21=E3,2,IF(C21=F3,3,"Choose response."))))))</f>
        <v>Choose response.</v>
      </c>
    </row>
    <row r="22" spans="2:4" ht="15.6" customHeight="1" x14ac:dyDescent="0.5">
      <c r="B22" s="51" t="s">
        <v>115</v>
      </c>
      <c r="C22" s="50">
        <f>SUM(D20:D21)</f>
        <v>0</v>
      </c>
    </row>
    <row r="23" spans="2:4" ht="18" customHeight="1" x14ac:dyDescent="0.5"/>
    <row r="24" spans="2:4" ht="20" customHeight="1" x14ac:dyDescent="0.5">
      <c r="B24" s="51" t="s">
        <v>47</v>
      </c>
    </row>
    <row r="25" spans="2:4" ht="15.6" customHeight="1" x14ac:dyDescent="0.5">
      <c r="B25" s="46" t="str">
        <f>IF(C22&gt;2, "Proceed with GAD-7","Screen at other visits accordingly.")</f>
        <v>Screen at other visits accordingly.</v>
      </c>
    </row>
    <row r="27" spans="2:4" x14ac:dyDescent="0.5">
      <c r="B27" s="62" t="s">
        <v>138</v>
      </c>
    </row>
    <row r="29" spans="2:4" x14ac:dyDescent="0.5">
      <c r="B29" s="51" t="s">
        <v>122</v>
      </c>
    </row>
    <row r="30" spans="2:4" ht="30.75" x14ac:dyDescent="0.5">
      <c r="B30" s="89" t="s">
        <v>123</v>
      </c>
      <c r="C30" s="89"/>
    </row>
    <row r="31" spans="2:4" ht="30.75" x14ac:dyDescent="0.5">
      <c r="B31" s="89" t="s">
        <v>124</v>
      </c>
      <c r="C31" s="89"/>
    </row>
  </sheetData>
  <sheetProtection sheet="1"/>
  <conditionalFormatting sqref="B9">
    <cfRule type="containsText" dxfId="14" priority="4" operator="containsText" text="Proceed with PHQ-9">
      <formula>NOT(ISERROR(SEARCH("Proceed with PHQ-9",B9)))</formula>
    </cfRule>
  </conditionalFormatting>
  <conditionalFormatting sqref="B16">
    <cfRule type="cellIs" dxfId="13" priority="1" operator="equal">
      <formula>"Proceed with PHQ-9"</formula>
    </cfRule>
  </conditionalFormatting>
  <conditionalFormatting sqref="B25">
    <cfRule type="containsText" dxfId="12" priority="3" operator="containsText" text="Proceed with GAD-7">
      <formula>NOT(ISERROR(SEARCH("Proceed with GAD-7",B25)))</formula>
    </cfRule>
  </conditionalFormatting>
  <dataValidations count="2">
    <dataValidation type="list" allowBlank="1" showInputMessage="1" showErrorMessage="1" sqref="C4:C5 C20:C21" xr:uid="{99E4377E-FCAB-4E5A-B0E6-C506F8CB3AFE}">
      <formula1>$C$3:$F$3</formula1>
    </dataValidation>
    <dataValidation type="list" allowBlank="1" showInputMessage="1" showErrorMessage="1" sqref="C12:C13" xr:uid="{00B6B3B2-3946-453F-A98E-BA9A70808792}">
      <formula1>"Yes, No"</formula1>
    </dataValidation>
  </dataValidations>
  <hyperlinks>
    <hyperlink ref="B27" location="Summary!C16" display="BACK TO SUMMARY SHEET" xr:uid="{31E59139-9D75-4A80-AD33-67AC0AD687F3}"/>
  </hyperlink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9C6A4-4BD1-4268-B3CE-C1B4CFB35B99}">
  <dimension ref="B1:J54"/>
  <sheetViews>
    <sheetView zoomScale="90" zoomScaleNormal="80" zoomScaleSheetLayoutView="70" workbookViewId="0">
      <selection activeCell="C37" sqref="C37"/>
    </sheetView>
  </sheetViews>
  <sheetFormatPr defaultColWidth="8.625" defaultRowHeight="15.75" x14ac:dyDescent="0.5"/>
  <cols>
    <col min="1" max="1" width="8.625" style="40"/>
    <col min="2" max="2" width="26.625" style="40" bestFit="1" customWidth="1"/>
    <col min="3" max="3" width="10.875" style="43" bestFit="1" customWidth="1"/>
    <col min="4" max="4" width="8.625" style="40" hidden="1" customWidth="1"/>
    <col min="5" max="5" width="10.625" style="40" customWidth="1"/>
    <col min="6" max="6" width="42.375" style="40" bestFit="1" customWidth="1"/>
    <col min="7" max="7" width="8.5" style="40" customWidth="1"/>
    <col min="8" max="8" width="1.6875" style="40" hidden="1" customWidth="1"/>
    <col min="9" max="10" width="8.625" style="40" hidden="1" customWidth="1"/>
    <col min="11" max="16384" width="8.625" style="40"/>
  </cols>
  <sheetData>
    <row r="1" spans="2:10" ht="21" x14ac:dyDescent="0.65">
      <c r="B1" s="44" t="s">
        <v>107</v>
      </c>
    </row>
    <row r="3" spans="2:10" x14ac:dyDescent="0.5">
      <c r="B3" s="42" t="s">
        <v>106</v>
      </c>
      <c r="C3" s="27" t="s">
        <v>199</v>
      </c>
    </row>
    <row r="5" spans="2:10" x14ac:dyDescent="0.5">
      <c r="B5" s="42" t="s">
        <v>90</v>
      </c>
    </row>
    <row r="7" spans="2:10" x14ac:dyDescent="0.5">
      <c r="B7" s="42" t="s">
        <v>96</v>
      </c>
      <c r="F7" s="42" t="s">
        <v>208</v>
      </c>
    </row>
    <row r="8" spans="2:10" x14ac:dyDescent="0.5">
      <c r="B8" s="40" t="s">
        <v>91</v>
      </c>
      <c r="C8" s="27" t="s">
        <v>166</v>
      </c>
      <c r="D8" s="43">
        <f>IF(C8="Primi", 1, 0)</f>
        <v>0</v>
      </c>
      <c r="F8" s="40" t="s">
        <v>209</v>
      </c>
      <c r="G8" s="27" t="s">
        <v>45</v>
      </c>
      <c r="H8" s="43">
        <f>IF(G8="Yes",2,0)</f>
        <v>0</v>
      </c>
    </row>
    <row r="9" spans="2:10" x14ac:dyDescent="0.5">
      <c r="B9" s="40" t="s">
        <v>39</v>
      </c>
      <c r="C9" s="27" t="s">
        <v>200</v>
      </c>
      <c r="D9" s="43">
        <f>IF(C9="≥40",1,0)</f>
        <v>0</v>
      </c>
      <c r="F9" s="41" t="s">
        <v>102</v>
      </c>
      <c r="G9" s="27" t="s">
        <v>45</v>
      </c>
      <c r="H9" s="43">
        <f t="shared" ref="H9:H12" si="0">IF(G9="Yes",2,0)</f>
        <v>0</v>
      </c>
    </row>
    <row r="10" spans="2:10" x14ac:dyDescent="0.5">
      <c r="B10" s="40" t="s">
        <v>92</v>
      </c>
      <c r="C10" s="27" t="s">
        <v>103</v>
      </c>
      <c r="D10" s="43">
        <f>IF(C10="&gt;10 years",1,0)</f>
        <v>0</v>
      </c>
      <c r="F10" s="40" t="s">
        <v>100</v>
      </c>
      <c r="G10" s="27" t="s">
        <v>45</v>
      </c>
      <c r="H10" s="43">
        <f t="shared" si="0"/>
        <v>0</v>
      </c>
    </row>
    <row r="11" spans="2:10" x14ac:dyDescent="0.5">
      <c r="B11" s="40" t="s">
        <v>93</v>
      </c>
      <c r="C11" s="27" t="s">
        <v>104</v>
      </c>
      <c r="D11" s="43">
        <f>IF(C11="≥35",1,0)</f>
        <v>0</v>
      </c>
      <c r="F11" s="40" t="s">
        <v>101</v>
      </c>
      <c r="G11" s="27" t="s">
        <v>45</v>
      </c>
      <c r="H11" s="43">
        <f t="shared" si="0"/>
        <v>0</v>
      </c>
    </row>
    <row r="12" spans="2:10" x14ac:dyDescent="0.5">
      <c r="B12" s="40" t="s">
        <v>94</v>
      </c>
      <c r="C12" s="27" t="s">
        <v>45</v>
      </c>
      <c r="D12" s="43">
        <f>IF(C12="Yes",1,0)</f>
        <v>0</v>
      </c>
      <c r="F12" s="40" t="s">
        <v>99</v>
      </c>
      <c r="G12" s="27" t="s">
        <v>45</v>
      </c>
      <c r="H12" s="43">
        <f t="shared" si="0"/>
        <v>0</v>
      </c>
    </row>
    <row r="13" spans="2:10" x14ac:dyDescent="0.5">
      <c r="B13" s="40" t="s">
        <v>95</v>
      </c>
      <c r="C13" s="27" t="s">
        <v>45</v>
      </c>
      <c r="D13" s="43">
        <f>IF(C13="Yes",1,0)</f>
        <v>0</v>
      </c>
      <c r="I13" s="40" t="s">
        <v>105</v>
      </c>
      <c r="J13" s="40">
        <f>SUM(D8:D13,H8:H12)</f>
        <v>0</v>
      </c>
    </row>
    <row r="15" spans="2:10" x14ac:dyDescent="0.5">
      <c r="B15" s="42" t="s">
        <v>47</v>
      </c>
    </row>
    <row r="16" spans="2:10" x14ac:dyDescent="0.5">
      <c r="B16" s="122" t="str">
        <f>IF(AND(J13&gt;1,(C3="12-20 weeks")),"Start PE prophylaxis.",(IF(AND(J13&gt;1,C3="&gt;20 weeks"),"Refer O&amp;G for aspirin initiation consultation.",(IF(AND(J13&gt;1,C3="&lt;12 weeks"),"Start PE prophylaxis at 12 weeks POG.","Continue antenatal follow-up.")))))</f>
        <v>Continue antenatal follow-up.</v>
      </c>
      <c r="C16" s="122"/>
    </row>
    <row r="18" spans="2:3" x14ac:dyDescent="0.5">
      <c r="B18" s="42" t="s">
        <v>108</v>
      </c>
    </row>
    <row r="19" spans="2:3" x14ac:dyDescent="0.5">
      <c r="B19" s="40" t="s">
        <v>210</v>
      </c>
    </row>
    <row r="20" spans="2:3" x14ac:dyDescent="0.5">
      <c r="B20" s="40" t="s">
        <v>109</v>
      </c>
    </row>
    <row r="22" spans="2:3" x14ac:dyDescent="0.5">
      <c r="B22" s="61" t="s">
        <v>138</v>
      </c>
    </row>
    <row r="24" spans="2:3" x14ac:dyDescent="0.5">
      <c r="B24" s="42" t="s">
        <v>76</v>
      </c>
    </row>
    <row r="25" spans="2:3" x14ac:dyDescent="0.5">
      <c r="B25" s="45" t="s">
        <v>212</v>
      </c>
    </row>
    <row r="27" spans="2:3" ht="21" x14ac:dyDescent="0.65">
      <c r="B27" s="44" t="s">
        <v>167</v>
      </c>
    </row>
    <row r="29" spans="2:3" x14ac:dyDescent="0.5">
      <c r="B29" s="42" t="s">
        <v>106</v>
      </c>
      <c r="C29" s="27" t="s">
        <v>199</v>
      </c>
    </row>
    <row r="31" spans="2:3" x14ac:dyDescent="0.5">
      <c r="B31" s="42" t="s">
        <v>90</v>
      </c>
    </row>
    <row r="33" spans="2:10" x14ac:dyDescent="0.5">
      <c r="B33" s="42" t="s">
        <v>96</v>
      </c>
      <c r="F33" s="42" t="s">
        <v>97</v>
      </c>
    </row>
    <row r="34" spans="2:10" x14ac:dyDescent="0.5">
      <c r="B34" s="40" t="s">
        <v>91</v>
      </c>
      <c r="C34" s="27" t="s">
        <v>205</v>
      </c>
      <c r="D34" s="43">
        <f>IF(C34="Primi", 1, 0)</f>
        <v>1</v>
      </c>
      <c r="F34" s="40" t="s">
        <v>98</v>
      </c>
      <c r="G34" s="27" t="s">
        <v>45</v>
      </c>
      <c r="H34" s="43">
        <f>IF(G34="Yes",2,0)</f>
        <v>0</v>
      </c>
    </row>
    <row r="35" spans="2:10" x14ac:dyDescent="0.5">
      <c r="B35" s="40" t="s">
        <v>39</v>
      </c>
      <c r="C35" s="27" t="s">
        <v>104</v>
      </c>
      <c r="D35" s="43">
        <f>IF(C35="≥35",1,0)</f>
        <v>0</v>
      </c>
      <c r="F35" s="40" t="s">
        <v>168</v>
      </c>
      <c r="G35" s="27" t="s">
        <v>45</v>
      </c>
      <c r="H35" s="43">
        <f>IF(G38="Yes",2,0)</f>
        <v>0</v>
      </c>
    </row>
    <row r="36" spans="2:10" x14ac:dyDescent="0.5">
      <c r="B36" s="40" t="s">
        <v>92</v>
      </c>
      <c r="C36" s="27" t="s">
        <v>103</v>
      </c>
      <c r="D36" s="43">
        <f>IF(C36="&gt;10 years",1,0)</f>
        <v>0</v>
      </c>
      <c r="F36" s="40" t="s">
        <v>102</v>
      </c>
      <c r="G36" s="27" t="s">
        <v>45</v>
      </c>
      <c r="H36" s="43">
        <f>IF(G39="Yes",2,0)</f>
        <v>0</v>
      </c>
    </row>
    <row r="37" spans="2:10" x14ac:dyDescent="0.5">
      <c r="B37" s="40" t="s">
        <v>93</v>
      </c>
      <c r="C37" s="27" t="s">
        <v>211</v>
      </c>
      <c r="D37" s="43">
        <f>IF(C37="≥30",1,0)</f>
        <v>0</v>
      </c>
      <c r="F37" s="40" t="s">
        <v>101</v>
      </c>
      <c r="G37" s="27" t="s">
        <v>45</v>
      </c>
      <c r="H37" s="43">
        <f>IF(G37="Yes",2,0)</f>
        <v>0</v>
      </c>
    </row>
    <row r="38" spans="2:10" x14ac:dyDescent="0.5">
      <c r="B38" s="40" t="s">
        <v>94</v>
      </c>
      <c r="C38" s="27" t="s">
        <v>45</v>
      </c>
      <c r="D38" s="43">
        <f>IF(C38="Yes",1,0)</f>
        <v>0</v>
      </c>
      <c r="F38" s="87" t="s">
        <v>99</v>
      </c>
      <c r="G38" s="27" t="s">
        <v>45</v>
      </c>
      <c r="H38" s="43">
        <f>IF(G36="Yes",2,0)</f>
        <v>0</v>
      </c>
    </row>
    <row r="39" spans="2:10" x14ac:dyDescent="0.5">
      <c r="B39" s="40" t="s">
        <v>95</v>
      </c>
      <c r="C39" s="27" t="s">
        <v>45</v>
      </c>
      <c r="D39" s="43">
        <f>IF(C39="Yes",1,0)</f>
        <v>0</v>
      </c>
      <c r="F39" s="40" t="s">
        <v>100</v>
      </c>
      <c r="G39" s="27" t="s">
        <v>45</v>
      </c>
      <c r="H39" s="43">
        <f>IF(G37="Yes",2,0)</f>
        <v>0</v>
      </c>
      <c r="I39" s="40" t="s">
        <v>105</v>
      </c>
      <c r="J39" s="40">
        <f>SUM(D34:D41,H34:H39)</f>
        <v>1</v>
      </c>
    </row>
    <row r="40" spans="2:10" x14ac:dyDescent="0.5">
      <c r="B40" s="40" t="s">
        <v>169</v>
      </c>
      <c r="C40" s="27" t="s">
        <v>45</v>
      </c>
      <c r="D40" s="43">
        <f>IF(C40="Yes",1,0)</f>
        <v>0</v>
      </c>
    </row>
    <row r="41" spans="2:10" x14ac:dyDescent="0.5">
      <c r="B41" s="40" t="s">
        <v>170</v>
      </c>
      <c r="C41" s="27" t="s">
        <v>45</v>
      </c>
      <c r="D41" s="43">
        <f>IF(C41="Yes",1,0)</f>
        <v>0</v>
      </c>
    </row>
    <row r="44" spans="2:10" x14ac:dyDescent="0.5">
      <c r="B44" s="42" t="s">
        <v>47</v>
      </c>
    </row>
    <row r="45" spans="2:10" x14ac:dyDescent="0.5">
      <c r="B45" s="85" t="str">
        <f>IF(AND(J39&gt;1,(C29="12-20 weeks")),"Start PE prophylaxis.",(IF(AND(J39&gt;1,C29="&gt;20 weeks"),"Refer O&amp;G for aspirin initiation consultation.",(IF(AND(J39&gt;1,C29="&lt;12 weeks"),"Start PE prophylaxis at 12 weeks POG.","Continue antenatal follow-up.")))))</f>
        <v>Continue antenatal follow-up.</v>
      </c>
      <c r="C45" s="85"/>
      <c r="D45" s="85" t="str">
        <f t="shared" ref="D45" si="1">IF(AND(L39&gt;1,(E29="12-20 weeks")),"Start PE prophylaxis.",(IF(AND(L39&gt;1,E29="&gt;20 weeks"),"Refer O&amp;G for aspirin initiation consultation.",(IF(AND(L39&gt;1,E29="&lt;12 weeks"),"Start PE prophylaxis at 12 weeks POG.","Continue antenatal follow-up.")))))</f>
        <v>Continue antenatal follow-up.</v>
      </c>
      <c r="E45" s="85"/>
    </row>
    <row r="47" spans="2:10" x14ac:dyDescent="0.5">
      <c r="B47" s="42" t="s">
        <v>108</v>
      </c>
    </row>
    <row r="48" spans="2:10" x14ac:dyDescent="0.5">
      <c r="B48" s="40" t="s">
        <v>210</v>
      </c>
    </row>
    <row r="49" spans="2:2" x14ac:dyDescent="0.5">
      <c r="B49" s="40" t="s">
        <v>109</v>
      </c>
    </row>
    <row r="51" spans="2:2" x14ac:dyDescent="0.5">
      <c r="B51" s="61" t="s">
        <v>138</v>
      </c>
    </row>
    <row r="53" spans="2:2" x14ac:dyDescent="0.5">
      <c r="B53" s="42" t="s">
        <v>76</v>
      </c>
    </row>
    <row r="54" spans="2:2" x14ac:dyDescent="0.5">
      <c r="B54" s="45" t="s">
        <v>171</v>
      </c>
    </row>
  </sheetData>
  <mergeCells count="1">
    <mergeCell ref="B16:C16"/>
  </mergeCells>
  <conditionalFormatting sqref="B16">
    <cfRule type="containsText" dxfId="11" priority="4" operator="containsText" text="Refer O&amp;G for aspirin initiation consultation.">
      <formula>NOT(ISERROR(SEARCH("Refer O&amp;G for aspirin initiation consultation.",B16)))</formula>
    </cfRule>
    <cfRule type="containsText" dxfId="10" priority="5" operator="containsText" text="Start PE prophylaxis at 12 weeks POG">
      <formula>NOT(ISERROR(SEARCH("Start PE prophylaxis at 12 weeks POG",B16)))</formula>
    </cfRule>
    <cfRule type="containsText" dxfId="9" priority="6" operator="containsText" text="Start PE prophylaxis">
      <formula>NOT(ISERROR(SEARCH("Start PE prophylaxis",B16)))</formula>
    </cfRule>
  </conditionalFormatting>
  <conditionalFormatting sqref="B45:E45">
    <cfRule type="containsText" dxfId="8" priority="1" operator="containsText" text="Refer O&amp;G for aspirin initiation consultation.">
      <formula>NOT(ISERROR(SEARCH("Refer O&amp;G for aspirin initiation consultation.",B45)))</formula>
    </cfRule>
    <cfRule type="containsText" dxfId="7" priority="2" operator="containsText" text="Start PE prophylaxis at 12 weeks POG">
      <formula>NOT(ISERROR(SEARCH("Start PE prophylaxis at 12 weeks POG",B45)))</formula>
    </cfRule>
    <cfRule type="containsText" dxfId="6" priority="3" operator="containsText" text="Start PE prophylaxis">
      <formula>NOT(ISERROR(SEARCH("Start PE prophylaxis",B45)))</formula>
    </cfRule>
  </conditionalFormatting>
  <dataValidations count="7">
    <dataValidation type="list" allowBlank="1" showInputMessage="1" showErrorMessage="1" sqref="C9" xr:uid="{FADD7171-11E2-4DAA-8D95-DAF3C868C820}">
      <formula1>"&lt;40, ≥40"</formula1>
    </dataValidation>
    <dataValidation type="list" allowBlank="1" showInputMessage="1" showErrorMessage="1" sqref="C8 C34" xr:uid="{C3427934-FF99-4BE0-B682-EF6064CF2986}">
      <formula1>"Primi, Multi"</formula1>
    </dataValidation>
    <dataValidation type="list" allowBlank="1" showInputMessage="1" showErrorMessage="1" sqref="C10 C36" xr:uid="{0714ACAB-5B08-4695-8BF4-7A224887D97C}">
      <formula1>"≤10 years, &gt;10 years"</formula1>
    </dataValidation>
    <dataValidation type="list" allowBlank="1" showInputMessage="1" showErrorMessage="1" sqref="C11 C35" xr:uid="{548ED0A3-1062-4E17-9355-A641A880410F}">
      <formula1>"&lt;35, ≥35"</formula1>
    </dataValidation>
    <dataValidation type="list" allowBlank="1" showInputMessage="1" showErrorMessage="1" sqref="C12:C13 G8:G12 C38:C41 G34:G39" xr:uid="{FB9E6506-03F5-43D1-9008-44222EA6412F}">
      <formula1>"No, Yes"</formula1>
    </dataValidation>
    <dataValidation type="list" allowBlank="1" showInputMessage="1" showErrorMessage="1" sqref="C3 C29" xr:uid="{29745AD4-FEA9-48ED-8752-B35E59B7CE92}">
      <formula1>"&lt;12 weeks, 12-20 weeks, &gt;20 weeks"</formula1>
    </dataValidation>
    <dataValidation type="list" allowBlank="1" showInputMessage="1" showErrorMessage="1" sqref="C37" xr:uid="{6DC9ACE7-1BD4-465C-8608-85AA6D23EB79}">
      <formula1>"&lt;30, ≥30"</formula1>
    </dataValidation>
  </dataValidations>
  <hyperlinks>
    <hyperlink ref="B22" location="Summary!C24" display="BACK TO SUMMARY SHEET" xr:uid="{84171CFE-0948-4E52-95BC-7E35D8539EE5}"/>
    <hyperlink ref="B51" location="Summary!C24" display="BACK TO SUMMARY SHEET" xr:uid="{A047DEE4-B2F8-45DE-96D7-D4AE48DB4D8D}"/>
  </hyperlink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17C9E-FAB3-4F95-8DE4-567EF94C0691}">
  <dimension ref="A1:K46"/>
  <sheetViews>
    <sheetView showGridLines="0" topLeftCell="A19" zoomScale="63" zoomScaleNormal="70" workbookViewId="0">
      <selection activeCell="C23" sqref="C23:D23"/>
    </sheetView>
  </sheetViews>
  <sheetFormatPr defaultColWidth="8.6875" defaultRowHeight="15.75" x14ac:dyDescent="0.5"/>
  <cols>
    <col min="1" max="1" width="14.1875" style="7" bestFit="1" customWidth="1"/>
    <col min="2" max="2" width="15.8125" style="7" bestFit="1" customWidth="1"/>
    <col min="3" max="3" width="17.625" style="7" bestFit="1" customWidth="1"/>
    <col min="4" max="4" width="14.3125" style="7" bestFit="1" customWidth="1"/>
    <col min="5" max="5" width="15.6875" style="7" bestFit="1" customWidth="1"/>
    <col min="6" max="6" width="14.3125" style="7" bestFit="1" customWidth="1"/>
    <col min="7" max="7" width="21" style="7" customWidth="1"/>
    <col min="8" max="8" width="19.6875" style="7" customWidth="1"/>
    <col min="9" max="9" width="25.6875" style="7" customWidth="1"/>
    <col min="10" max="10" width="17.625" style="7" customWidth="1"/>
    <col min="11" max="11" width="9.6875" style="7" bestFit="1" customWidth="1"/>
    <col min="12" max="16384" width="8.6875" style="7"/>
  </cols>
  <sheetData>
    <row r="1" spans="1:4" ht="31.5" x14ac:dyDescent="0.5">
      <c r="A1" s="5" t="s">
        <v>13</v>
      </c>
      <c r="B1" s="6" t="s">
        <v>14</v>
      </c>
      <c r="C1" s="123" t="s">
        <v>15</v>
      </c>
      <c r="D1" s="123"/>
    </row>
    <row r="2" spans="1:4" x14ac:dyDescent="0.5">
      <c r="A2" s="5" t="s">
        <v>206</v>
      </c>
      <c r="B2" s="6" t="s">
        <v>207</v>
      </c>
      <c r="C2" s="123" t="s">
        <v>16</v>
      </c>
      <c r="D2" s="123"/>
    </row>
    <row r="4" spans="1:4" ht="21" x14ac:dyDescent="0.5">
      <c r="A4" s="124" t="s">
        <v>7</v>
      </c>
      <c r="B4" s="124"/>
      <c r="C4" s="124"/>
      <c r="D4" s="124"/>
    </row>
    <row r="5" spans="1:4" x14ac:dyDescent="0.5">
      <c r="A5" s="8"/>
      <c r="B5" s="8"/>
      <c r="C5" s="8"/>
      <c r="D5" s="8"/>
    </row>
    <row r="6" spans="1:4" x14ac:dyDescent="0.5">
      <c r="A6" s="9" t="s">
        <v>4</v>
      </c>
      <c r="B6" s="9" t="s">
        <v>5</v>
      </c>
      <c r="C6" s="127" t="s">
        <v>3</v>
      </c>
      <c r="D6" s="127"/>
    </row>
    <row r="7" spans="1:4" x14ac:dyDescent="0.5">
      <c r="A7" s="10"/>
      <c r="B7" s="10"/>
      <c r="C7" s="128" t="str">
        <f>IF(OR(ISBLANK(A7),ISBLANK(B7)),"ENTER MCV AND RBC",A7/B7)</f>
        <v>ENTER MCV AND RBC</v>
      </c>
      <c r="D7" s="128"/>
    </row>
    <row r="8" spans="1:4" x14ac:dyDescent="0.5">
      <c r="A8" s="8"/>
      <c r="B8" s="8"/>
      <c r="C8" s="8"/>
      <c r="D8" s="8"/>
    </row>
    <row r="9" spans="1:4" x14ac:dyDescent="0.5">
      <c r="A9" s="129" t="s">
        <v>6</v>
      </c>
      <c r="B9" s="129"/>
      <c r="C9" s="129" t="str">
        <f>IF(OR(ISBLANK(A7),ISBLANK(B7)),"ENTER MCV AND RBC",(IF(C7&gt;13, "Iron Def", "Thalassemia Carrier")))</f>
        <v>ENTER MCV AND RBC</v>
      </c>
      <c r="D9" s="129"/>
    </row>
    <row r="11" spans="1:4" ht="18" x14ac:dyDescent="0.5">
      <c r="A11" s="130" t="s">
        <v>8</v>
      </c>
      <c r="B11" s="130"/>
      <c r="C11" s="130"/>
      <c r="D11" s="130"/>
    </row>
    <row r="12" spans="1:4" x14ac:dyDescent="0.5">
      <c r="A12" s="11"/>
      <c r="B12" s="11"/>
      <c r="C12" s="11"/>
      <c r="D12" s="11"/>
    </row>
    <row r="13" spans="1:4" ht="31.5" x14ac:dyDescent="0.5">
      <c r="A13" s="1" t="s">
        <v>18</v>
      </c>
      <c r="B13" s="1" t="s">
        <v>19</v>
      </c>
      <c r="C13" s="1" t="s">
        <v>9</v>
      </c>
      <c r="D13" s="1" t="s">
        <v>17</v>
      </c>
    </row>
    <row r="14" spans="1:4" ht="31.5" x14ac:dyDescent="0.5">
      <c r="A14" s="10"/>
      <c r="B14" s="10"/>
      <c r="C14" s="3" t="str">
        <f>IF(OR(ISBLANK(A14),ISBLANK(B14)),"ENTER IRON AND TIBC",A14/B14)</f>
        <v>ENTER IRON AND TIBC</v>
      </c>
      <c r="D14" s="10"/>
    </row>
    <row r="15" spans="1:4" x14ac:dyDescent="0.5">
      <c r="A15" s="11"/>
      <c r="B15" s="11"/>
      <c r="C15" s="11"/>
      <c r="D15" s="11"/>
    </row>
    <row r="16" spans="1:4" x14ac:dyDescent="0.5">
      <c r="A16" s="131" t="s">
        <v>10</v>
      </c>
      <c r="B16" s="131"/>
      <c r="C16" s="132" t="str">
        <f>IF(OR(ISBLANK(D14)),"Enter Ferritin level",(IF(D14&lt;30,"Absolute iron deficiency",(IF(D14&lt;=100,"Iron deficiency",(IF(D14&gt;100,"Proceed with TSAT")))))))</f>
        <v>Enter Ferritin level</v>
      </c>
      <c r="D16" s="132"/>
    </row>
    <row r="17" spans="1:7" x14ac:dyDescent="0.5">
      <c r="A17" s="131" t="s">
        <v>20</v>
      </c>
      <c r="B17" s="131"/>
      <c r="C17" s="132" t="str">
        <f>IF(AND(C14&gt;20%,D14&gt;100),"Iron replete",(IF(AND(C14&gt;20%,D14&lt;=100,D14&gt;=30),"Low iron stores",(IF(AND(C14&lt;=20%,D14&lt;=100),"Absolute ID",(IF(AND(C14&lt;=20,D14&gt;100),"Functional ID","Enter Iron, TIBC &amp; Ferritin")))))))</f>
        <v>Enter Iron, TIBC &amp; Ferritin</v>
      </c>
      <c r="D17" s="132"/>
    </row>
    <row r="19" spans="1:7" x14ac:dyDescent="0.5">
      <c r="A19" s="12"/>
      <c r="B19" s="12"/>
      <c r="C19" s="12"/>
      <c r="D19" s="12"/>
    </row>
    <row r="20" spans="1:7" ht="18" x14ac:dyDescent="0.5">
      <c r="A20" s="133" t="s">
        <v>11</v>
      </c>
      <c r="B20" s="133"/>
      <c r="C20" s="133"/>
      <c r="D20" s="133"/>
    </row>
    <row r="21" spans="1:7" x14ac:dyDescent="0.5">
      <c r="A21" s="13"/>
      <c r="B21" s="13"/>
      <c r="C21" s="13"/>
      <c r="D21" s="12"/>
    </row>
    <row r="22" spans="1:7" ht="72" x14ac:dyDescent="0.5">
      <c r="A22" s="14" t="s">
        <v>172</v>
      </c>
      <c r="B22" s="14" t="s">
        <v>1</v>
      </c>
      <c r="C22" s="125" t="s">
        <v>0</v>
      </c>
      <c r="D22" s="125"/>
    </row>
    <row r="23" spans="1:7" ht="18" x14ac:dyDescent="0.5">
      <c r="A23" s="32"/>
      <c r="B23" s="33"/>
      <c r="C23" s="126">
        <v>13</v>
      </c>
      <c r="D23" s="126"/>
    </row>
    <row r="24" spans="1:7" x14ac:dyDescent="0.5">
      <c r="A24" s="13"/>
      <c r="B24" s="13"/>
      <c r="C24" s="13"/>
      <c r="D24" s="12"/>
    </row>
    <row r="25" spans="1:7" ht="18" x14ac:dyDescent="0.5">
      <c r="A25" s="154" t="s">
        <v>2</v>
      </c>
      <c r="B25" s="155"/>
      <c r="C25" s="156" t="s">
        <v>12</v>
      </c>
      <c r="D25" s="157"/>
    </row>
    <row r="26" spans="1:7" ht="18" x14ac:dyDescent="0.5">
      <c r="A26" s="158" t="str">
        <f>IF(OR(ISBLANK(A23),ISBLANK(B23)),"Enter body weight &amp; Actual Hb",(A23*(C23-B23)*10*0.24)+500)</f>
        <v>Enter body weight &amp; Actual Hb</v>
      </c>
      <c r="B26" s="159"/>
      <c r="C26" s="160" t="str">
        <f>IF((OR(ISBLANK(A23),ISBLANK(B23))),"Enter body weight &amp; Actual Hb",(A26/100))</f>
        <v>Enter body weight &amp; Actual Hb</v>
      </c>
      <c r="D26" s="161"/>
    </row>
    <row r="27" spans="1:7" x14ac:dyDescent="0.5">
      <c r="A27" s="12"/>
      <c r="B27" s="13"/>
      <c r="C27" s="13"/>
      <c r="D27" s="12"/>
    </row>
    <row r="28" spans="1:7" ht="18" x14ac:dyDescent="0.5">
      <c r="A28" s="154" t="s">
        <v>173</v>
      </c>
      <c r="B28" s="155"/>
      <c r="C28" s="162" t="s">
        <v>174</v>
      </c>
      <c r="D28" s="163"/>
    </row>
    <row r="29" spans="1:7" ht="18" x14ac:dyDescent="0.5">
      <c r="A29" s="144" t="str">
        <f>IF(OR(ISBLANK(A23),ISBLANK(B23)),"Enter Body weight &amp; Actual Hb",(A23*20))</f>
        <v>Enter Body weight &amp; Actual Hb</v>
      </c>
      <c r="B29" s="145"/>
      <c r="C29" s="134" t="str">
        <f>IF(OR(ISBLANK(A23),ISBLANK(B23)),"Enter Body weight &amp; Actual Hb",A29/100)</f>
        <v>Enter Body weight &amp; Actual Hb</v>
      </c>
      <c r="D29" s="135"/>
    </row>
    <row r="30" spans="1:7" x14ac:dyDescent="0.5">
      <c r="A30" s="136" t="s">
        <v>84</v>
      </c>
      <c r="B30" s="137"/>
      <c r="C30" s="137"/>
      <c r="D30" s="137"/>
      <c r="F30" s="140"/>
      <c r="G30" s="140"/>
    </row>
    <row r="31" spans="1:7" x14ac:dyDescent="0.5">
      <c r="A31" s="153" t="s">
        <v>175</v>
      </c>
      <c r="B31" s="153"/>
      <c r="C31" s="153"/>
      <c r="D31" s="153"/>
    </row>
    <row r="34" spans="1:11" ht="47.25" x14ac:dyDescent="0.5">
      <c r="A34" s="4" t="s">
        <v>85</v>
      </c>
      <c r="B34" s="4" t="s">
        <v>86</v>
      </c>
      <c r="C34" s="4" t="s">
        <v>87</v>
      </c>
      <c r="D34" s="141" t="s">
        <v>88</v>
      </c>
      <c r="E34" s="141"/>
      <c r="F34" s="141"/>
      <c r="G34" s="4" t="s">
        <v>33</v>
      </c>
      <c r="H34" s="4" t="s">
        <v>34</v>
      </c>
      <c r="I34" s="4" t="s">
        <v>35</v>
      </c>
      <c r="J34" s="4" t="s">
        <v>36</v>
      </c>
      <c r="K34" s="35" t="s">
        <v>37</v>
      </c>
    </row>
    <row r="35" spans="1:11" ht="47.25" x14ac:dyDescent="0.5">
      <c r="A35" s="146"/>
      <c r="B35" s="146"/>
      <c r="C35" s="147" t="str">
        <f>IF(ISBLANK(A35),"Enter No of Cosmofer Ampules &amp; Choice of dilution",(A35*100/B35))</f>
        <v>Enter No of Cosmofer Ampules &amp; Choice of dilution</v>
      </c>
      <c r="D35" s="15" t="s">
        <v>38</v>
      </c>
      <c r="E35" s="34" t="str">
        <f>IF(ISBLANK(A35),"Enter No of Cosmofer Ampules",25/C35)</f>
        <v>Enter No of Cosmofer Ampules</v>
      </c>
      <c r="F35" s="90" t="s">
        <v>89</v>
      </c>
      <c r="G35" s="36" t="str">
        <f>IF(ISBLANK(A35),"Enter No of Cosmofer Ampules",(20*E35/15))</f>
        <v>Enter No of Cosmofer Ampules</v>
      </c>
      <c r="H35" s="36" t="str">
        <f>IF(ISBLANK(A35),"Enter No of Cosmofer Ampules",60*E35/15)</f>
        <v>Enter No of Cosmofer Ampules</v>
      </c>
      <c r="I35" s="37" t="str">
        <f>IF(ISBLANK(A35),"Enter No of Cosmofer Ampules",(E35/15)*60)</f>
        <v>Enter No of Cosmofer Ampules</v>
      </c>
      <c r="J35" s="38" t="str">
        <f>IF(ISBLANK(A35),"Enter No of Comsmofer Ampules",(ROUND(E35,1))&amp;" ml")</f>
        <v>Enter No of Comsmofer Ampules</v>
      </c>
      <c r="K35" s="39">
        <v>25</v>
      </c>
    </row>
    <row r="36" spans="1:11" ht="63" x14ac:dyDescent="0.5">
      <c r="A36" s="146"/>
      <c r="B36" s="146"/>
      <c r="C36" s="147"/>
      <c r="D36" s="148" t="s">
        <v>176</v>
      </c>
      <c r="E36" s="150" t="str">
        <f>IF(ISBLANK(A35),"Enter No of Cosmofer Ampules",(B35-E35))</f>
        <v>Enter No of Cosmofer Ampules</v>
      </c>
      <c r="F36" s="142" t="str">
        <f>IF((B35=100),(("in "&amp;(ROUNDDOWN(((K36*30/100)/60),0))&amp;" hrs "&amp;(ROUNDUP(((((K36*30/100)/60)-(ROUNDDOWN((K36*30/100)/60,0)))*60),0)&amp;" mnts"))),"in 4 hours")</f>
        <v>in 4 hours</v>
      </c>
      <c r="G36" s="88" t="str">
        <f>IF(ISBLANK(A35),"Enter No of Cosmofer Ampules",(ROUNDUP(E36*20/(K36*30/100),0)))</f>
        <v>Enter No of Cosmofer Ampules</v>
      </c>
      <c r="H36" s="36" t="str">
        <f>IF(ISBLANK(A35),"Enter No of Cosmofer Ampules",60*E36/(K36*30/100))</f>
        <v>Enter No of Cosmofer Ampules</v>
      </c>
      <c r="I36" s="37" t="str">
        <f>IF(ISBLANK(A35),"Enter No of Cosmofer Ampules",E36/(K36*30/100)*60)</f>
        <v>Enter No of Cosmofer Ampules</v>
      </c>
      <c r="J36" s="36" t="str">
        <f>IF(ISBLANK(A35),"Enter No of Comsmofer Ampules",ROUND(E36,1)&amp; " ml")</f>
        <v>Enter No of Comsmofer Ampules</v>
      </c>
      <c r="K36" s="39" t="str">
        <f>IF(ISBLANK(A35),"Enter No of Cosmofer Ampules",(C35*E36))</f>
        <v>Enter No of Cosmofer Ampules</v>
      </c>
    </row>
    <row r="37" spans="1:11" ht="47.25" x14ac:dyDescent="0.5">
      <c r="A37" s="146"/>
      <c r="B37" s="146"/>
      <c r="C37" s="147"/>
      <c r="D37" s="149"/>
      <c r="E37" s="151"/>
      <c r="F37" s="143"/>
      <c r="G37" s="36" t="str">
        <f>IF(ISBLANK(A35),"Enter No of Cosmofer Ampules",(ROUNDUP((20*E36/240),0))&amp;" gtt/min for 4 hours")</f>
        <v>Enter No of Cosmofer Ampules</v>
      </c>
      <c r="H37" s="36" t="str">
        <f>IF(ISBLANK(A35),"Enter No of Cosmofer Ampules",(ROUNDUP((60*E36/240),0)&amp;" gtt/min for 4 hours"))</f>
        <v>Enter No of Cosmofer Ampules</v>
      </c>
      <c r="I37" s="37" t="str">
        <f>IF(ISBLANK(A35),"Enter No of Cosmofer Ampules",(ROUNDUP(E36/4,0)&amp;" ml/hr for 4 hours"))</f>
        <v>Enter No of Cosmofer Ampules</v>
      </c>
      <c r="J37" s="36" t="str">
        <f>IF(ISBLANK(A35),"Enter No of Comsmofer Ampules",ROUND(E36,1)&amp; " ml")</f>
        <v>Enter No of Comsmofer Ampules</v>
      </c>
      <c r="K37" s="138" t="str">
        <f>IF(ISBLANK(A35),"Enter No of Cosmofer Ampules",(C35*E36))</f>
        <v>Enter No of Cosmofer Ampules</v>
      </c>
    </row>
    <row r="38" spans="1:11" ht="47.25" x14ac:dyDescent="0.5">
      <c r="A38" s="146"/>
      <c r="B38" s="146"/>
      <c r="C38" s="147"/>
      <c r="D38" s="149"/>
      <c r="E38" s="152"/>
      <c r="F38" s="97" t="str">
        <f>IF((B36=100),(("in "&amp;(ROUNDDOWN(((K38*30/100)/60),0))&amp;" hrs "&amp;(ROUNDUP(((((K38*30/100)/60)-(ROUNDDOWN((K38*30/100)/60,0)))*60),0)&amp;" mnts"))),"in 5 hours")</f>
        <v>in 5 hours</v>
      </c>
      <c r="G38" s="36" t="str">
        <f>IF(ISBLANK(A35),"Enter No of Cosmofer Ampules",(ROUNDUP((20*E36/300),0))&amp;" gtt/min for 5 hours")</f>
        <v>Enter No of Cosmofer Ampules</v>
      </c>
      <c r="H38" s="36" t="str">
        <f>IF(ISBLANK(A35),"Enter No of Cosmofer Ampules",(ROUNDUP((60*E36/300),0)&amp;" gtt/min for 5 hours"))</f>
        <v>Enter No of Cosmofer Ampules</v>
      </c>
      <c r="I38" s="37" t="str">
        <f>IF(ISBLANK(A35),"Enter No of Cosmofer Ampules",(ROUNDUP(E36/5,0)&amp;" ml/hr for 5 hours"))</f>
        <v>Enter No of Cosmofer Ampules</v>
      </c>
      <c r="J38" s="36" t="str">
        <f>IF(ISBLANK(A35),"Enter No of Comsmofer Ampules",ROUND(E36,1)&amp; " ml")</f>
        <v>Enter No of Comsmofer Ampules</v>
      </c>
      <c r="K38" s="139"/>
    </row>
    <row r="40" spans="1:11" x14ac:dyDescent="0.5">
      <c r="A40" s="98" t="s">
        <v>21</v>
      </c>
    </row>
    <row r="41" spans="1:11" x14ac:dyDescent="0.5">
      <c r="A41" s="99" t="s">
        <v>201</v>
      </c>
    </row>
    <row r="42" spans="1:11" x14ac:dyDescent="0.5">
      <c r="A42" s="100" t="s">
        <v>202</v>
      </c>
    </row>
    <row r="43" spans="1:11" x14ac:dyDescent="0.5">
      <c r="A43" s="101" t="s">
        <v>22</v>
      </c>
    </row>
    <row r="44" spans="1:11" x14ac:dyDescent="0.5">
      <c r="A44" s="102" t="s">
        <v>203</v>
      </c>
      <c r="B44" s="103"/>
      <c r="C44" s="103"/>
      <c r="D44" s="103"/>
      <c r="E44" s="103"/>
      <c r="F44" s="103"/>
      <c r="G44" s="103"/>
      <c r="H44" s="103"/>
      <c r="I44" s="103"/>
      <c r="J44" s="103"/>
      <c r="K44" s="103"/>
    </row>
    <row r="45" spans="1:11" x14ac:dyDescent="0.5">
      <c r="A45" s="104" t="s">
        <v>204</v>
      </c>
      <c r="B45" s="105"/>
      <c r="C45" s="105"/>
      <c r="D45" s="105"/>
      <c r="E45" s="105"/>
      <c r="F45" s="105"/>
      <c r="G45" s="103"/>
      <c r="H45" s="103"/>
      <c r="I45" s="103"/>
      <c r="J45" s="103"/>
      <c r="K45" s="103"/>
    </row>
    <row r="46" spans="1:11" x14ac:dyDescent="0.5">
      <c r="A46" s="103"/>
      <c r="B46" s="106"/>
      <c r="C46" s="106"/>
      <c r="D46" s="106"/>
      <c r="E46" s="106"/>
      <c r="F46" s="103"/>
      <c r="G46" s="103"/>
      <c r="H46" s="103"/>
      <c r="I46" s="103"/>
      <c r="J46" s="103"/>
      <c r="K46" s="103"/>
    </row>
  </sheetData>
  <sheetProtection sheet="1" objects="1" scenarios="1"/>
  <mergeCells count="34">
    <mergeCell ref="A25:B25"/>
    <mergeCell ref="C25:D25"/>
    <mergeCell ref="A26:B26"/>
    <mergeCell ref="C26:D26"/>
    <mergeCell ref="A28:B28"/>
    <mergeCell ref="C28:D28"/>
    <mergeCell ref="C29:D29"/>
    <mergeCell ref="A30:D30"/>
    <mergeCell ref="K37:K38"/>
    <mergeCell ref="F30:G30"/>
    <mergeCell ref="D34:F34"/>
    <mergeCell ref="F36:F37"/>
    <mergeCell ref="A29:B29"/>
    <mergeCell ref="A35:A38"/>
    <mergeCell ref="B35:B38"/>
    <mergeCell ref="C35:C38"/>
    <mergeCell ref="D36:D38"/>
    <mergeCell ref="E36:E38"/>
    <mergeCell ref="A31:D31"/>
    <mergeCell ref="C1:D1"/>
    <mergeCell ref="C2:D2"/>
    <mergeCell ref="A4:D4"/>
    <mergeCell ref="C22:D22"/>
    <mergeCell ref="C23:D23"/>
    <mergeCell ref="C6:D6"/>
    <mergeCell ref="C7:D7"/>
    <mergeCell ref="A9:B9"/>
    <mergeCell ref="C9:D9"/>
    <mergeCell ref="A11:D11"/>
    <mergeCell ref="A16:B16"/>
    <mergeCell ref="C16:D16"/>
    <mergeCell ref="A17:B17"/>
    <mergeCell ref="C17:D17"/>
    <mergeCell ref="A20:D20"/>
  </mergeCells>
  <conditionalFormatting sqref="A29:B29">
    <cfRule type="cellIs" dxfId="5" priority="6" operator="greaterThan">
      <formula>$A$26</formula>
    </cfRule>
  </conditionalFormatting>
  <conditionalFormatting sqref="C29:D29">
    <cfRule type="cellIs" dxfId="4" priority="4" operator="greaterThan">
      <formula>$C$26</formula>
    </cfRule>
    <cfRule type="cellIs" dxfId="3" priority="5" operator="greaterThan">
      <formula>$C$26</formula>
    </cfRule>
  </conditionalFormatting>
  <conditionalFormatting sqref="G38:J38">
    <cfRule type="expression" dxfId="2" priority="2">
      <formula>($B$35=100)</formula>
    </cfRule>
  </conditionalFormatting>
  <conditionalFormatting sqref="G36:K36">
    <cfRule type="expression" dxfId="1" priority="3">
      <formula>($B$35=500)</formula>
    </cfRule>
  </conditionalFormatting>
  <conditionalFormatting sqref="G37:K37">
    <cfRule type="expression" dxfId="0" priority="1">
      <formula>($B$35=100)</formula>
    </cfRule>
  </conditionalFormatting>
  <dataValidations count="3">
    <dataValidation type="whole" operator="lessThanOrEqual" allowBlank="1" showInputMessage="1" showErrorMessage="1" sqref="A35:A38" xr:uid="{305151BE-D3F8-4707-9A50-B1F489C3638E}">
      <formula1>C29</formula1>
    </dataValidation>
    <dataValidation type="list" allowBlank="1" showInputMessage="1" showErrorMessage="1" sqref="B35" xr:uid="{41688080-5580-44D1-B239-40D579226F36}">
      <formula1>"100, 500"</formula1>
    </dataValidation>
    <dataValidation type="list" allowBlank="1" showInputMessage="1" showErrorMessage="1" sqref="C23:D23" xr:uid="{A1217A71-0258-47D1-86D2-99C179CC916A}">
      <formula1>"11,12,13,14,15"</formula1>
    </dataValidation>
  </dataValidations>
  <pageMargins left="0.7" right="0.7" top="0.75" bottom="0.75" header="0.3" footer="0.3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Summary</vt:lpstr>
      <vt:lpstr>Age Calculator</vt:lpstr>
      <vt:lpstr>Gestational Age Calculator</vt:lpstr>
      <vt:lpstr>VTE Screening</vt:lpstr>
      <vt:lpstr>GDM Screening</vt:lpstr>
      <vt:lpstr>PTB Screening</vt:lpstr>
      <vt:lpstr>PHQ and GAD</vt:lpstr>
      <vt:lpstr>PE Prophylaxis</vt:lpstr>
      <vt:lpstr>Anaemia</vt:lpstr>
      <vt:lpstr>Preterm Birth Screening</vt:lpstr>
      <vt:lpstr>STI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Hazwani Hanum Binti Hashim</dc:creator>
  <cp:keywords/>
  <dc:description/>
  <cp:lastModifiedBy>Hazwani Hanum Binti Hashim</cp:lastModifiedBy>
  <cp:revision/>
  <dcterms:created xsi:type="dcterms:W3CDTF">2023-01-15T13:47:43Z</dcterms:created>
  <dcterms:modified xsi:type="dcterms:W3CDTF">2026-04-10T05:39:05Z</dcterms:modified>
  <cp:category/>
  <cp:contentStatus/>
</cp:coreProperties>
</file>